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6\apertura\"/>
    </mc:Choice>
  </mc:AlternateContent>
  <bookViews>
    <workbookView xWindow="0" yWindow="0" windowWidth="20490" windowHeight="7755" activeTab="1"/>
  </bookViews>
  <sheets>
    <sheet name="OBRA NUEVA LABOR QUIMICA" sheetId="2" r:id="rId1"/>
    <sheet name="ADECUACION LAB BIOLOG-QUIMICA" sheetId="8" r:id="rId2"/>
    <sheet name="Hoja1" sheetId="16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G12" i="8" l="1"/>
  <c r="H12" i="8" s="1"/>
  <c r="G13" i="8"/>
  <c r="H13" i="8" s="1"/>
  <c r="I13" i="8"/>
  <c r="J13" i="8" s="1"/>
  <c r="K13" i="8"/>
  <c r="H15" i="8"/>
  <c r="G18" i="8"/>
  <c r="H18" i="8"/>
  <c r="G20" i="8"/>
  <c r="G28" i="8"/>
  <c r="H28" i="8"/>
  <c r="G32" i="8"/>
  <c r="G97" i="8"/>
  <c r="F14" i="8"/>
  <c r="F15" i="8"/>
  <c r="F16" i="8"/>
  <c r="F17" i="8"/>
  <c r="F18" i="8"/>
  <c r="F19" i="8"/>
  <c r="F20" i="8"/>
  <c r="I28" i="8" l="1"/>
  <c r="G29" i="8" s="1"/>
  <c r="H29" i="8" s="1"/>
  <c r="I18" i="8"/>
  <c r="L13" i="8"/>
  <c r="M13" i="8" s="1"/>
  <c r="F173" i="8"/>
  <c r="F51" i="2" l="1"/>
  <c r="F169" i="8" l="1"/>
  <c r="F168" i="8"/>
  <c r="F165" i="8"/>
  <c r="F164" i="8"/>
  <c r="F163" i="8"/>
  <c r="F162" i="8"/>
  <c r="F161" i="8"/>
  <c r="F160" i="8"/>
  <c r="F159" i="8"/>
  <c r="F158" i="8"/>
  <c r="F155" i="8"/>
  <c r="F154" i="8"/>
  <c r="F153" i="8"/>
  <c r="F152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D127" i="8"/>
  <c r="F127" i="8" s="1"/>
  <c r="F126" i="8"/>
  <c r="F125" i="8"/>
  <c r="F124" i="8"/>
  <c r="F123" i="8"/>
  <c r="F122" i="8"/>
  <c r="F121" i="8"/>
  <c r="F120" i="8"/>
  <c r="F119" i="8"/>
  <c r="F118" i="8"/>
  <c r="F117" i="8"/>
  <c r="F116" i="8"/>
  <c r="F115" i="8"/>
  <c r="F112" i="8"/>
  <c r="F113" i="8" s="1"/>
  <c r="F109" i="8"/>
  <c r="F108" i="8"/>
  <c r="F107" i="8"/>
  <c r="F106" i="8"/>
  <c r="F105" i="8"/>
  <c r="F104" i="8"/>
  <c r="F103" i="8"/>
  <c r="F170" i="8" l="1"/>
  <c r="F110" i="8"/>
  <c r="F150" i="8"/>
  <c r="F156" i="8"/>
  <c r="F166" i="8"/>
  <c r="F128" i="8"/>
  <c r="F100" i="2"/>
  <c r="F99" i="2"/>
  <c r="F98" i="2"/>
  <c r="F97" i="2"/>
  <c r="F96" i="2"/>
  <c r="F95" i="2"/>
  <c r="F94" i="2"/>
  <c r="F91" i="2"/>
  <c r="F92" i="2" s="1"/>
  <c r="F101" i="2" l="1"/>
  <c r="F99" i="8" l="1"/>
  <c r="F98" i="8"/>
  <c r="F97" i="8"/>
  <c r="F43" i="8"/>
  <c r="F42" i="8"/>
  <c r="F47" i="8"/>
  <c r="F48" i="8"/>
  <c r="E13" i="8"/>
  <c r="F13" i="8" s="1"/>
  <c r="E12" i="8"/>
  <c r="F12" i="8" s="1"/>
  <c r="F44" i="8" l="1"/>
  <c r="F100" i="8"/>
  <c r="F74" i="2"/>
  <c r="F73" i="2"/>
  <c r="F75" i="2"/>
  <c r="F49" i="2" l="1"/>
  <c r="F25" i="2"/>
  <c r="F26" i="2"/>
  <c r="L34" i="2"/>
  <c r="E16" i="2"/>
  <c r="F87" i="2" l="1"/>
  <c r="F86" i="2"/>
  <c r="F85" i="2"/>
  <c r="F84" i="2"/>
  <c r="F83" i="2"/>
  <c r="F82" i="2"/>
  <c r="F81" i="2"/>
  <c r="F80" i="2"/>
  <c r="F79" i="2"/>
  <c r="F78" i="2"/>
  <c r="F89" i="2" l="1"/>
  <c r="F72" i="2"/>
  <c r="F71" i="2"/>
  <c r="F70" i="2"/>
  <c r="F69" i="2"/>
  <c r="F76" i="2" l="1"/>
  <c r="F66" i="2" l="1"/>
  <c r="F65" i="2"/>
  <c r="F64" i="2"/>
  <c r="F63" i="2"/>
  <c r="F62" i="2"/>
  <c r="F61" i="2"/>
  <c r="F60" i="2"/>
  <c r="F59" i="2"/>
  <c r="F67" i="2" l="1"/>
  <c r="F82" i="8" l="1"/>
  <c r="F81" i="8"/>
  <c r="F80" i="8"/>
  <c r="F79" i="8"/>
  <c r="F78" i="8"/>
  <c r="F77" i="8"/>
  <c r="D76" i="8"/>
  <c r="F76" i="8" s="1"/>
  <c r="F95" i="8" l="1"/>
  <c r="F83" i="8"/>
  <c r="F73" i="8"/>
  <c r="F72" i="8"/>
  <c r="F71" i="8"/>
  <c r="F70" i="8"/>
  <c r="F69" i="8"/>
  <c r="F74" i="8" l="1"/>
  <c r="F66" i="8"/>
  <c r="F65" i="8"/>
  <c r="F64" i="8"/>
  <c r="F63" i="8"/>
  <c r="F62" i="8"/>
  <c r="F61" i="8"/>
  <c r="F60" i="8"/>
  <c r="F59" i="8"/>
  <c r="F58" i="8"/>
  <c r="F57" i="8"/>
  <c r="F56" i="8"/>
  <c r="F55" i="8"/>
  <c r="D54" i="8"/>
  <c r="F54" i="8" s="1"/>
  <c r="F53" i="8"/>
  <c r="F52" i="8"/>
  <c r="D51" i="8"/>
  <c r="F51" i="8" s="1"/>
  <c r="F50" i="8"/>
  <c r="D49" i="8"/>
  <c r="F49" i="8" s="1"/>
  <c r="F67" i="8" l="1"/>
  <c r="D33" i="8"/>
  <c r="E28" i="8"/>
  <c r="F28" i="8" s="1"/>
  <c r="H30" i="2"/>
  <c r="F30" i="2" s="1"/>
  <c r="G30" i="2"/>
  <c r="F27" i="2"/>
  <c r="F14" i="2"/>
  <c r="H22" i="2"/>
  <c r="G20" i="2"/>
  <c r="G22" i="2"/>
  <c r="F20" i="2"/>
  <c r="F21" i="2"/>
  <c r="F34" i="2"/>
  <c r="F35" i="2" s="1"/>
  <c r="F23" i="2"/>
  <c r="H21" i="2"/>
  <c r="G21" i="2"/>
  <c r="G24" i="2"/>
  <c r="F24" i="2" s="1"/>
  <c r="F22" i="2" l="1"/>
  <c r="F31" i="2"/>
  <c r="F32" i="2" s="1"/>
  <c r="F33" i="8"/>
  <c r="F55" i="2"/>
  <c r="F50" i="2"/>
  <c r="F43" i="2"/>
  <c r="F44" i="2"/>
  <c r="F45" i="2"/>
  <c r="F54" i="2"/>
  <c r="G38" i="2"/>
  <c r="H38" i="2" s="1"/>
  <c r="I38" i="2" s="1"/>
  <c r="K38" i="2"/>
  <c r="L38" i="2" s="1"/>
  <c r="G35" i="2"/>
  <c r="H35" i="2" s="1"/>
  <c r="K35" i="2"/>
  <c r="G36" i="2"/>
  <c r="H36" i="2" s="1"/>
  <c r="F46" i="2" l="1"/>
  <c r="D31" i="8"/>
  <c r="F31" i="8" s="1"/>
  <c r="M38" i="2"/>
  <c r="F40" i="2" s="1"/>
  <c r="F36" i="8"/>
  <c r="F37" i="8" s="1"/>
  <c r="F23" i="8"/>
  <c r="F39" i="8"/>
  <c r="F27" i="8"/>
  <c r="F26" i="8"/>
  <c r="F25" i="8"/>
  <c r="F24" i="8"/>
  <c r="F21" i="8" l="1"/>
  <c r="D29" i="8"/>
  <c r="F29" i="8" s="1"/>
  <c r="F38" i="2"/>
  <c r="F39" i="2"/>
  <c r="N13" i="8"/>
  <c r="D32" i="8" l="1"/>
  <c r="F32" i="8" s="1"/>
  <c r="F30" i="8"/>
  <c r="F40" i="8" s="1"/>
  <c r="F174" i="8" s="1"/>
  <c r="F34" i="8" l="1"/>
  <c r="F84" i="8" s="1"/>
  <c r="H23" i="2"/>
  <c r="I23" i="2" s="1"/>
  <c r="H19" i="2"/>
  <c r="I19" i="2" s="1"/>
  <c r="F11" i="2"/>
  <c r="F12" i="2"/>
  <c r="E13" i="2"/>
  <c r="F13" i="2" s="1"/>
  <c r="E15" i="2"/>
  <c r="F15" i="2" s="1"/>
  <c r="F16" i="2"/>
  <c r="F19" i="2"/>
  <c r="F175" i="8" l="1"/>
  <c r="F176" i="8" s="1"/>
  <c r="F177" i="8"/>
  <c r="F17" i="2"/>
  <c r="F56" i="2"/>
  <c r="F57" i="2" s="1"/>
  <c r="F48" i="2"/>
  <c r="F52" i="2" s="1"/>
  <c r="F178" i="8" l="1"/>
  <c r="F28" i="2"/>
  <c r="F85" i="8"/>
  <c r="F91" i="8"/>
  <c r="F87" i="8" l="1"/>
  <c r="F37" i="2"/>
  <c r="F90" i="8" l="1"/>
  <c r="F93" i="8" s="1"/>
  <c r="F41" i="2"/>
  <c r="F102" i="2" s="1"/>
  <c r="F105" i="2" s="1"/>
  <c r="G102" i="2" l="1"/>
  <c r="F103" i="2" l="1"/>
  <c r="F104" i="2" s="1"/>
  <c r="F106" i="2" s="1"/>
</calcChain>
</file>

<file path=xl/sharedStrings.xml><?xml version="1.0" encoding="utf-8"?>
<sst xmlns="http://schemas.openxmlformats.org/spreadsheetml/2006/main" count="664" uniqueCount="325">
  <si>
    <t>TOTAL</t>
  </si>
  <si>
    <t>UND</t>
  </si>
  <si>
    <t>ML</t>
  </si>
  <si>
    <t>m2</t>
  </si>
  <si>
    <t>M2</t>
  </si>
  <si>
    <t>VENTANA ALUM.CORREDIZA P.50-20</t>
  </si>
  <si>
    <t>M3</t>
  </si>
  <si>
    <t>m</t>
  </si>
  <si>
    <t>M</t>
  </si>
  <si>
    <t>CANAL METALICA CALIBRE 18 INCLUYE ACABADO CON ANTICORROSIVO Y ESMALTE</t>
  </si>
  <si>
    <t>MAMPOSTERIA</t>
  </si>
  <si>
    <t>ENCHAPES Y PISOS</t>
  </si>
  <si>
    <t>CUBIERTA</t>
  </si>
  <si>
    <t>CARPINTERIA</t>
  </si>
  <si>
    <t>CONCRETOS</t>
  </si>
  <si>
    <t>PRELIMINARES</t>
  </si>
  <si>
    <t>Demolicion de muros en soga</t>
  </si>
  <si>
    <t xml:space="preserve">Demolición de meson en concreto </t>
  </si>
  <si>
    <t>SUBTOTAL</t>
  </si>
  <si>
    <t xml:space="preserve">Demolición de placa de piso existente  hasta 20 cm </t>
  </si>
  <si>
    <t>AUI 25%</t>
  </si>
  <si>
    <t>UNIDAD</t>
  </si>
  <si>
    <t>ml</t>
  </si>
  <si>
    <t xml:space="preserve">ADECUACIONES ELECTRICAS </t>
  </si>
  <si>
    <t>ADECUACIONES HIDROSANITARIAS</t>
  </si>
  <si>
    <t>OBRA NUEVA AREA LABORATORIOS DE QUIMICA</t>
  </si>
  <si>
    <t>ACABADOS</t>
  </si>
  <si>
    <t>desmonte de carpinteria en madera en mesones de laboratorio de biologia 2 piso</t>
  </si>
  <si>
    <t>desmonte de cielo falso existente</t>
  </si>
  <si>
    <t>desmonte de luminarias</t>
  </si>
  <si>
    <t>Desmonte de puntos electricos</t>
  </si>
  <si>
    <t>Desmonte de ventanas H: 0,50 m</t>
  </si>
  <si>
    <t>Pulido de meson existente en acabado con granito pulido E: 0,10  Largo: 0,60 para laboratorios biologia</t>
  </si>
  <si>
    <t>cielo falso panel board  6mm  mas pintura en vinilo  laboratorio biologia 2 piso</t>
  </si>
  <si>
    <t xml:space="preserve">ADECUACIONES LABORATORIOS DE BIOLOGIA </t>
  </si>
  <si>
    <t>PANTALLA LED de 120x30 contubos led con chasis en acero brillante incluye instalacion</t>
  </si>
  <si>
    <t>Pulido de meson existente en acabado con granito pulido E: 0,10  Largo: 0,60 para laboratorios de quimica</t>
  </si>
  <si>
    <t>cielo falso panel board  6mm  mas pintura en vinilo  laboratorioquimica</t>
  </si>
  <si>
    <t xml:space="preserve">ADECUACIONES LABORATORIOS DE  QUIMICA </t>
  </si>
  <si>
    <t>desmonte de puertas y ventanas</t>
  </si>
  <si>
    <t>m3</t>
  </si>
  <si>
    <t>Muro en bloque para estanterias area de entrega de insumos</t>
  </si>
  <si>
    <t xml:space="preserve">Concreto de 3000 PSI instalado para entrepaños </t>
  </si>
  <si>
    <t>pañete liso sobre muros 1:4</t>
  </si>
  <si>
    <t>Estuco</t>
  </si>
  <si>
    <t>PUERTA EN ALUMINIO calibre 20</t>
  </si>
  <si>
    <t>Ml</t>
  </si>
  <si>
    <t>ACEROS</t>
  </si>
  <si>
    <t>kg</t>
  </si>
  <si>
    <t>Malla electrosoldada 15x15</t>
  </si>
  <si>
    <t>cerramiento en tela de fibra</t>
  </si>
  <si>
    <t>Pulido de piso existente en acabado con granito pulido laboratorios de quimica</t>
  </si>
  <si>
    <t>Demolicion de placa de piso existente en concreto pulido hasta 20 cm</t>
  </si>
  <si>
    <t>baranda pasamanos .LAM. TUB.1,1/2x1,1/2" C.18</t>
  </si>
  <si>
    <t xml:space="preserve">piso en granito pulido </t>
  </si>
  <si>
    <t xml:space="preserve">guarda escoba en granito </t>
  </si>
  <si>
    <t>iva sobre utilidad</t>
  </si>
  <si>
    <t>A. ILUMINACIÓN Y TOMAS</t>
  </si>
  <si>
    <t>Ud</t>
  </si>
  <si>
    <t>Salida lógica para  VOZ Y DATOS  en tuberia conduit PVC Ø ½’’,  terminales lisos tipo campana pvc y demas accesorios. Cable UTP cat 6A, caja pvc 2x2" (o cajas 4’’x4’’ donde se requiera),Fase Plate 2 puertos AMP, Jack RJ45.  El punto debe quedar etiquetado con banda plástica indicando el circuito al cual pertenece y debidamente certificado.</t>
  </si>
  <si>
    <t>Mt</t>
  </si>
  <si>
    <t>Desmonte instalacines electricas existentes.</t>
  </si>
  <si>
    <t>glb</t>
  </si>
  <si>
    <t xml:space="preserve"> desmonte  de puntos hidraúlicos, incluye tapón de 1/2", acarreo y bote </t>
  </si>
  <si>
    <t>UNID.</t>
  </si>
  <si>
    <t xml:space="preserve"> desmonte  de puntos sanitarios de 2", incluye tapón liso de 2", acarreo y bote </t>
  </si>
  <si>
    <t>Suministro e instalación  de puntos hidraúlicos, en tuberia pvc presión  RDE 13.5, incluye accesorios para su instalación,  niple galvanizado y codo  para la instalación de grifo tipo pesado.</t>
  </si>
  <si>
    <t xml:space="preserve">Suministro e instalación  de puntos sanitarios, en tuberia sanitaria 2",  Longitud promedio 3.5 mts incluye accesorios para su instalación,  </t>
  </si>
  <si>
    <t xml:space="preserve">Suministro e instalación  de red hidraúlica, en tuberia pvc presión  RDE 13.5,  de diámetro 3/4 incluye accesorios para su instalación, </t>
  </si>
  <si>
    <t>HIDROSANITARIOS</t>
  </si>
  <si>
    <t xml:space="preserve"> ELECTRICO</t>
  </si>
  <si>
    <t>Puntos de cableado estructurado en categoría 6A incluye instalación, certificación, herrajes canalizaciones, regatas, pintura, marcación y accesorios</t>
  </si>
  <si>
    <t>Suministro herraje 48 puertos categoria 6A</t>
  </si>
  <si>
    <t xml:space="preserve">ordenadores categoria 6A 80x80  </t>
  </si>
  <si>
    <t>Suministro e instalacion Patch cord 1 mt</t>
  </si>
  <si>
    <t>Patch cord 3 mt</t>
  </si>
  <si>
    <t>Bandeja 30x5x3mts incluye Accesorios para fijación en techo, tierra e instalacion hasta racks</t>
  </si>
  <si>
    <t>Cable HDMI (8), USB (8), VGA(8), audio 3,5 mm (8) de 6 metros cada uno</t>
  </si>
  <si>
    <t>VOZ Y DATOS</t>
  </si>
  <si>
    <t>ELECTRICOS SEGUNDO PISO</t>
  </si>
  <si>
    <t>Suministro e instalacion de Racks  para cableado 1,60 x60 incluyemultitomas con luz piloto</t>
  </si>
  <si>
    <t>Bandeja tipo malla galvanizada en caliente 30x5x3mts incluye Accesorios para fijación en techo, tierra e instalacion hasta racks</t>
  </si>
  <si>
    <t>Instalación y suministro de 300 mts de fibra óptica monomodo incluye tendido, instalación y fusión de 8 hilos de fibra óptica , suministro de 2 ODFs y certificacion</t>
  </si>
  <si>
    <t>EQUIPOS DE RED</t>
  </si>
  <si>
    <t>Catalyst 2960-X 24 GigE PoE 370W 4 x 1G SFP LAN Base</t>
  </si>
  <si>
    <t>GE SFP,LC connector LX/LH transceiver</t>
  </si>
  <si>
    <t>Aruba access point mount kit</t>
  </si>
  <si>
    <t>Suministro e instalación de canal  en lámina galvanizada calibre 22 grafada, remachada y soldada en las uniones,  pintada con anticorrosivo y con aplicación de brea asfáltica . Longitud de desarrollo = 0.60 mts, incluye   andamios y equipo de protección para trabajo en alturas.</t>
  </si>
  <si>
    <t>Suministro e instalación de bajantes en tuberia pvc  ventilación  de diámetro 3",   incluye accesorios para su instalación andamios y equipo de protección para trabajo en alturas.</t>
  </si>
  <si>
    <t>Suministro e instalación de tuberia sanitaria novafort de díametro 8" , incluye excavación  sobre pavimento, relleno de zanja compactada, acarreo y bote de escombros.</t>
  </si>
  <si>
    <t>Construcción de cajas en concreto de 0.50*0.50, altura promedio 0.80 mts. Elaboradas en concreto con paredes de espesor 0.10 mts</t>
  </si>
  <si>
    <t>Aseo general y bote de escombros.</t>
  </si>
  <si>
    <t>Global</t>
  </si>
  <si>
    <t>VICTOR HUGO RODRIGUEZ LOPEZ</t>
  </si>
  <si>
    <t>Coordinador  de Mantenimiento</t>
  </si>
  <si>
    <t>Universidad del Cauca</t>
  </si>
  <si>
    <t>ELECTRICOS  PRIMER PISO</t>
  </si>
  <si>
    <t>localizacion y replanteo</t>
  </si>
  <si>
    <t>excavaciones en material comun hasta 0.40 metros</t>
  </si>
  <si>
    <t>acarreo de materiales petreos tierra-varos hasta 12 KM</t>
  </si>
  <si>
    <t>Concreto de 3000 PSI para zapata corrida según diseño estructural, incluye formaleta</t>
  </si>
  <si>
    <t xml:space="preserve">Viga de cimentacion en concreto 0,30*0,30 m, incluye formaleta </t>
  </si>
  <si>
    <t>columnas en concreto de 3000 PSI, según diseño incluye formaleta</t>
  </si>
  <si>
    <t xml:space="preserve">alfajia en concreto </t>
  </si>
  <si>
    <t>SUMINISTRO E INSTALACIÓN  DE ACERO REFUERZO FLEJADO 60000 PSI 420Mpa</t>
  </si>
  <si>
    <t>suministro e instalcion Acero de refuerzo flejado 60000 PSI 420 MPA</t>
  </si>
  <si>
    <t xml:space="preserve">losa caseton esterilla H:40 CM - 45 (torta) aligerada </t>
  </si>
  <si>
    <t xml:space="preserve">Suministro e instalacion de teja fibrocemento #6 </t>
  </si>
  <si>
    <t>Policarbonato alveolar 4mm</t>
  </si>
  <si>
    <t xml:space="preserve">muro en ladrillo  estructural, </t>
  </si>
  <si>
    <t>repello muro 1:3</t>
  </si>
  <si>
    <t>estuco sobre muro liso</t>
  </si>
  <si>
    <t>caballete en asbesto cemento</t>
  </si>
  <si>
    <t xml:space="preserve">Salida de EXTRACTOR INDUSTRIAL 120 Voltios en tuberia conduit EMT Ø ½’’ y demas accesorios. Conductores N° 12 AWG –THHN –THWN incluida la línea a tierra, caja galvanizada 2x2" (o cajas 4’’x4’’ donde se requiera), toma 15A leviton con su tapa, empalmes con conectores de resorte tipo 3M,  cola en cable encauchetado 3x12 (±1Mt), tomacorriente y clavija aérea con polo a tierra para conexion del extractor. </t>
  </si>
  <si>
    <t>suministro e instalacion de estractores dimension 12" uso industrial RPM: 1800
Tensión de servicio: 120V</t>
  </si>
  <si>
    <t>desmonte de luminarias primer y segundo piso</t>
  </si>
  <si>
    <t>desmonte de cielo falso existente primer y segundo piso</t>
  </si>
  <si>
    <t>piso en granito pulido entrega reactivos segundo piso quimica</t>
  </si>
  <si>
    <t>und</t>
  </si>
  <si>
    <t>cielo falso panel board  6mm  mas pintura en vinilo  laboratori oquimica primer y segundo piso</t>
  </si>
  <si>
    <t>resane de muros</t>
  </si>
  <si>
    <t xml:space="preserve"> M2</t>
  </si>
  <si>
    <t>muro en ladrillo comun entrega reactivos</t>
  </si>
  <si>
    <t>ventana en lamina sencillo calibre 20 con vidriometalica</t>
  </si>
  <si>
    <t>pintura epoxica para entrepaños</t>
  </si>
  <si>
    <t>Demolición de meson en concreto entrega de vidrios</t>
  </si>
  <si>
    <t>Desmonte de puntos electricos segundo piso</t>
  </si>
  <si>
    <t>guarda escoba en granito pulido media caña entrega reactivos laboratorios quimica</t>
  </si>
  <si>
    <t>pintura de epoxica para entrepaños</t>
  </si>
  <si>
    <t>nave para puerta  en lamina calibre 20</t>
  </si>
  <si>
    <t>Solado de concreto espesor = 5 cms. 2000 PSI 14 MPA</t>
  </si>
  <si>
    <t>concreto de 3000 PSI para viga aerea según diseño incluye formaleta</t>
  </si>
  <si>
    <t>losa en concreto maciza E=20 CM cimiento</t>
  </si>
  <si>
    <t>Viga de corona concreto  de 21 MPA,  según planos estructurales incluye formaleta</t>
  </si>
  <si>
    <t>estructura metalica para cubierta según  diseño en asbesto cemento y policarbonato según diseño perlin de 1.6*1.6*1.5 mm</t>
  </si>
  <si>
    <t>repello muro mortero 1:3</t>
  </si>
  <si>
    <t>pintura vinilo tipo 1 para muros exteriores e interiores 3 capas</t>
  </si>
  <si>
    <t xml:space="preserve">AP IAP 225 Aruba Wi F alta densidad Wireless Access Point, 802.11ac, </t>
  </si>
  <si>
    <t>MARLHY YEPEZ</t>
  </si>
  <si>
    <t>ENRIQUE CONCHA</t>
  </si>
  <si>
    <t>Arquitecta</t>
  </si>
  <si>
    <t>Ingeniero electrico</t>
  </si>
  <si>
    <t>JAIME MARTINEZ</t>
  </si>
  <si>
    <t>Profesional especializado</t>
  </si>
  <si>
    <t>universidad del Cauca</t>
  </si>
  <si>
    <t>Profesional universitario</t>
  </si>
  <si>
    <t>piso en granito pulido brillado para laboratorios de biologia</t>
  </si>
  <si>
    <t xml:space="preserve">guarda escoba en granito pulido para laboratorios biologia </t>
  </si>
  <si>
    <t>muro board 10mm mm  doble cara incluye pintura en vinilo 3 manos</t>
  </si>
  <si>
    <t>relleno con material seleccionado del sitio y compactacion mecanica</t>
  </si>
  <si>
    <t>Aseo general</t>
  </si>
  <si>
    <t>GL</t>
  </si>
  <si>
    <t>OTROS</t>
  </si>
  <si>
    <t xml:space="preserve">                          UNIVERSIDAD DEL CAUCA</t>
  </si>
  <si>
    <t xml:space="preserve">                          RECTORIA</t>
  </si>
  <si>
    <t xml:space="preserve">                         OFICINA DE PLANEACION Y DESARROLLO INSTITUCIONAL</t>
  </si>
  <si>
    <t xml:space="preserve">No. </t>
  </si>
  <si>
    <t>ACTIVIDADES</t>
  </si>
  <si>
    <t>CANTIDAD</t>
  </si>
  <si>
    <t>VR. UNITARIO</t>
  </si>
  <si>
    <t>VR. TOTAL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</si>
  <si>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</si>
  <si>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</si>
  <si>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</si>
  <si>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</si>
  <si>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</si>
  <si>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</si>
  <si>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</si>
  <si>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</si>
  <si>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</si>
  <si>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</si>
  <si>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</si>
  <si>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</si>
  <si>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</si>
  <si>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</si>
  <si>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</si>
  <si>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</si>
  <si>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</si>
  <si>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</si>
  <si>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</si>
  <si>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</si>
  <si>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</si>
  <si>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</si>
  <si>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</si>
  <si>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</si>
  <si>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</si>
  <si>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</si>
  <si>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</si>
  <si>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</si>
  <si>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</si>
  <si>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</si>
  <si>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</si>
  <si>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</si>
  <si>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SUBTOTAL LABORATORIO BIOLOGIA</t>
  </si>
  <si>
    <t>6.1</t>
  </si>
  <si>
    <t>6.2</t>
  </si>
  <si>
    <t>6.3</t>
  </si>
  <si>
    <t>7.1</t>
  </si>
  <si>
    <t>7.2</t>
  </si>
  <si>
    <t>7.3</t>
  </si>
  <si>
    <t>7.4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</si>
  <si>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</si>
  <si>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</si>
  <si>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</si>
  <si>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</si>
  <si>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</si>
  <si>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</si>
  <si>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</si>
  <si>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</si>
  <si>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</si>
  <si>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</si>
  <si>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</si>
  <si>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</si>
  <si>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</si>
  <si>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</si>
  <si>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</si>
  <si>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</si>
  <si>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</si>
  <si>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</si>
  <si>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</si>
  <si>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</si>
  <si>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</si>
  <si>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</si>
  <si>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11.1</t>
  </si>
  <si>
    <t>11.2</t>
  </si>
  <si>
    <t>11.3</t>
  </si>
  <si>
    <t>11.4</t>
  </si>
  <si>
    <t>12.1</t>
  </si>
  <si>
    <t>12.2</t>
  </si>
  <si>
    <t>12.3</t>
  </si>
  <si>
    <t>12.4</t>
  </si>
  <si>
    <t>13.1</t>
  </si>
  <si>
    <t>13.2</t>
  </si>
  <si>
    <t>14.1</t>
  </si>
  <si>
    <t>COSTO DIRECTO</t>
  </si>
  <si>
    <t>COSTO DIRECTO + COSTO INDIRECTO</t>
  </si>
  <si>
    <t>IVA 16% SOBRE UTILIDAD DEL 5%</t>
  </si>
  <si>
    <t>VALOR TOTAL</t>
  </si>
  <si>
    <r>
      <t xml:space="preserve">Salida de </t>
    </r>
    <r>
      <rPr>
        <b/>
        <sz val="11"/>
        <color indexed="8"/>
        <rFont val="Arial"/>
        <family val="2"/>
      </rPr>
      <t>ILUMINACIÓN</t>
    </r>
    <r>
      <rPr>
        <sz val="11"/>
        <color indexed="8"/>
        <rFont val="Arial"/>
        <family val="2"/>
      </rPr>
      <t xml:space="preserve"> 120 Voltios en tuberia conduit</t>
    </r>
    <r>
      <rPr>
        <sz val="11"/>
        <color rgb="FFFF0000"/>
        <rFont val="Arial"/>
        <family val="2"/>
      </rPr>
      <t xml:space="preserve"> EMT</t>
    </r>
    <r>
      <rPr>
        <sz val="11"/>
        <color indexed="8"/>
        <rFont val="Arial"/>
        <family val="2"/>
      </rPr>
      <t xml:space="preserve"> Ø ½’’ y demas accesorios. Conductores N° 12 AWG –THHN –THWN incluida la línea a tierra, caja galvanizada 2x2" (o cajas 4’’x4’’ donde se requiera), toma 15A leviton con su tapa, empalmes con conectores de resorte tipo 3M,  cola en cable encauchetado 3x12 (±1Mt), tomacorriente y clavija aérea con polo a tierra para conexion de la luminaria. </t>
    </r>
  </si>
  <si>
    <r>
      <t>Salida de EXTRACTOR INDUSTRIAL</t>
    </r>
    <r>
      <rPr>
        <sz val="11"/>
        <color indexed="8"/>
        <rFont val="Arial"/>
        <family val="2"/>
      </rPr>
      <t xml:space="preserve"> 120 Voltios en tuberia conduit</t>
    </r>
    <r>
      <rPr>
        <sz val="11"/>
        <color rgb="FFFF0000"/>
        <rFont val="Arial"/>
        <family val="2"/>
      </rPr>
      <t xml:space="preserve"> EMT</t>
    </r>
    <r>
      <rPr>
        <sz val="11"/>
        <color indexed="8"/>
        <rFont val="Arial"/>
        <family val="2"/>
      </rPr>
      <t xml:space="preserve"> Ø ½’’ y demas accesorios. Conductores N° 12 AWG –THHN –THWN incluida la línea a tierra, caja galvanizada 2x2" (o cajas 4’’x4’’ donde se requiera), toma 15A leviton con su tapa, empalmes con conectores de resorte tipo 3M,  cola en cable encauchetado 3x12 (±1Mt), tomacorriente y clavija aérea con polo a tierra para conexion del extractor. </t>
    </r>
  </si>
  <si>
    <r>
      <t xml:space="preserve">Salidas para </t>
    </r>
    <r>
      <rPr>
        <b/>
        <sz val="11"/>
        <color indexed="8"/>
        <rFont val="Arial"/>
        <family val="2"/>
      </rPr>
      <t>TOMAS NORMALES</t>
    </r>
    <r>
      <rPr>
        <sz val="11"/>
        <color indexed="8"/>
        <rFont val="Arial"/>
        <family val="2"/>
      </rPr>
      <t xml:space="preserve"> dobles monofásicos con polo a tierra en tuberia conduit  </t>
    </r>
    <r>
      <rPr>
        <sz val="11"/>
        <color rgb="FFFF0000"/>
        <rFont val="Arial"/>
        <family val="2"/>
      </rPr>
      <t>EMT</t>
    </r>
    <r>
      <rPr>
        <sz val="11"/>
        <color indexed="8"/>
        <rFont val="Arial"/>
        <family val="2"/>
      </rPr>
      <t xml:space="preserve"> Ø ½’’ (o 3/4"  donde se requiera),  caja galvanizada de 2x4" (o 4x4’’)  y demas accesorios. Incluye toma 15 Amp. Levitón.  Conductores  N°. 12 AWG –THHN –THWN /Cu incluida la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</si>
  <si>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color indexed="8"/>
        <rFont val="Arial"/>
        <family val="2"/>
      </rPr>
      <t xml:space="preserve">TOMA LÁMPARA EMERGENCIA y/o aviso "SALIDA" </t>
    </r>
    <r>
      <rPr>
        <sz val="11"/>
        <color indexed="8"/>
        <rFont val="Arial"/>
        <family val="2"/>
      </rPr>
      <t xml:space="preserve"> dobles monofásicos con polo a tierra en tuberia conduit </t>
    </r>
    <r>
      <rPr>
        <sz val="11"/>
        <color rgb="FFFF0000"/>
        <rFont val="Arial"/>
        <family val="2"/>
      </rPr>
      <t xml:space="preserve"> EMT</t>
    </r>
    <r>
      <rPr>
        <sz val="11"/>
        <color indexed="8"/>
        <rFont val="Arial"/>
        <family val="2"/>
      </rPr>
      <t xml:space="preserve"> Ø ½’’ (o 3/4"  donde se requiera),  caja galvanizada de 2x4" (o 4x4’’)  y demas accesorios. Incluye toma 15 Amp. Levitón.  Conductores  N°. 12 AWG –THHN –THWN /Cu incluida la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</si>
  <si>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color indexed="8"/>
        <rFont val="Arial"/>
        <family val="2"/>
      </rPr>
      <t>TOMAS NORMALES</t>
    </r>
    <r>
      <rPr>
        <sz val="11"/>
        <color indexed="8"/>
        <rFont val="Arial"/>
        <family val="2"/>
      </rPr>
      <t xml:space="preserve"> dobles monofásicos con polo a tierra en tuberia conduit PVC y EMT Ø ½’’ (o 3/4"  donde se requiera),  caja galvanizada de 2x4" (o 4x4’’)  y demas accesorios. Incluye toma 15 Amp. Levitón.  Conductores  N°. 12 AWG –THHN –THWN /Cu incluida la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</si>
  <si>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rFont val="Arial"/>
        <family val="2"/>
      </rPr>
      <t>TOMAS REGULADOS</t>
    </r>
    <r>
      <rPr>
        <sz val="11"/>
        <rFont val="Arial"/>
        <family val="2"/>
      </rPr>
      <t xml:space="preserve">  dobles monofásicos con polo a tierra en tuberia conduit PVC y EMT Ø ½’’ (o 3/4"  donde se requiera),  cajas galvanizada de 2x2" (o 4x4’’) y demas accesorios. Incluye toma 15A Levitón tierra aislada IG debidamente instalado. Conductores trenzado de fábrica 3X12 AWG/THHN, color de fase según circuito,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</si>
  <si>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color indexed="8"/>
        <rFont val="Arial"/>
        <family val="2"/>
      </rPr>
      <t>TOMA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ESPECIAL MONOFASICO </t>
    </r>
    <r>
      <rPr>
        <sz val="11"/>
        <color indexed="8"/>
        <rFont val="Arial"/>
        <family val="2"/>
      </rPr>
      <t>en tuberia conduit PVC y EMT Ø ½’’ (o 3/4"  donde se requiera),  cajas galvanizada 2x2" (o 4x4") y demas accesorios. Incluye toma pata cruzada 20A/ 120v  debidamente instalado. Conductores  N°.10 AWG –THHN –THWN /Cu.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</si>
  <si>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color indexed="8"/>
        <rFont val="Arial"/>
        <family val="2"/>
      </rPr>
      <t>TOMA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ESPECIAL220V </t>
    </r>
    <r>
      <rPr>
        <sz val="11"/>
        <color indexed="8"/>
        <rFont val="Arial"/>
        <family val="2"/>
      </rPr>
      <t>en tuberia conduit PVC y EMT Ø 3/4", caja especial galvanizada de 10x10" y demas accesorios. Incluye toma trifilar 20A/ 120v - 220v debidamente instalado. Conductores  N°.10 AWG –THHN –THWN /Cu. El toma debe quedar etiquetado con banda plástica indicando el circuito al cual pertenece y su voltaje. Empalmes con conectores de resorte tipo 3M Scotchlok</t>
    </r>
  </si>
  <si>
    <r>
      <t xml:space="preserve">Salidas para </t>
    </r>
    <r>
      <rPr>
        <b/>
        <sz val="11"/>
        <color indexed="8"/>
        <rFont val="Arial"/>
        <family val="2"/>
      </rPr>
      <t xml:space="preserve">INTERRUPTOR SENCILLO </t>
    </r>
    <r>
      <rPr>
        <sz val="11"/>
        <color indexed="8"/>
        <rFont val="Arial"/>
        <family val="2"/>
      </rPr>
      <t xml:space="preserve">en tuberia conduit PVC y EMT Ø ½’’, caja PVC de 2x4" (o 4x4’’)  y demas accesorios.Incluye interruptor 15 Amp con punto a tierra,  conductores  N° 12 AWG –THHN –THWN /Cu incluida la linea a tierra (utilizar color negro para retornos). </t>
    </r>
  </si>
  <si>
    <r>
      <t xml:space="preserve">Salidas para </t>
    </r>
    <r>
      <rPr>
        <b/>
        <sz val="11"/>
        <color indexed="8"/>
        <rFont val="Arial"/>
        <family val="2"/>
      </rPr>
      <t xml:space="preserve">INTERRUPTOR TRIPLE </t>
    </r>
    <r>
      <rPr>
        <sz val="11"/>
        <color indexed="8"/>
        <rFont val="Arial"/>
        <family val="2"/>
      </rPr>
      <t xml:space="preserve">en tuberia conduit PVC y EMT Ø ½’’, caja PVC de 2x4" (o 4x4’’)  y demas accesorios.Incluye interruptor 15 Amp con punto a tierra,  conductores  N° 12 AWG –THHN –THWN /Cu incluida la linea a tierra (utilizar color negro para retornos). </t>
    </r>
  </si>
  <si>
    <r>
      <t xml:space="preserve">Suministro e instalación de </t>
    </r>
    <r>
      <rPr>
        <b/>
        <sz val="11"/>
        <color theme="1"/>
        <rFont val="Arial"/>
        <family val="2"/>
      </rPr>
      <t>BANDEJA PORTACABLES</t>
    </r>
    <r>
      <rPr>
        <sz val="11"/>
        <color theme="1"/>
        <rFont val="Arial"/>
        <family val="2"/>
      </rPr>
      <t xml:space="preserve"> Cablofil de 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54x100mmx3,0mts</t>
    </r>
    <r>
      <rPr>
        <sz val="11"/>
        <color theme="1"/>
        <rFont val="Arial"/>
        <family val="2"/>
      </rPr>
      <t xml:space="preserve"> con división, incluye todos los accesorios para su montaje, asi como una linea en cable de cobre desnudo N° 4 por todo el recorrido de la bandeja hasta la bornera de tierra en el TDG.  .</t>
    </r>
  </si>
  <si>
    <r>
      <t xml:space="preserve">Suministro e instalación </t>
    </r>
    <r>
      <rPr>
        <b/>
        <sz val="11"/>
        <rFont val="Arial"/>
        <family val="2"/>
      </rPr>
      <t>Tablero de Distribución Trifásico de 36 Ctos (TB3).</t>
    </r>
    <r>
      <rPr>
        <sz val="11"/>
        <rFont val="Arial"/>
        <family val="2"/>
      </rPr>
      <t xml:space="preserve"> para el sistema de TOMAS NORMALES, con puerta y chapa, espacio para totalizador e interruptor general, incluye las protecciones termomagnéticas según diseño. NTQ-436-T-SQ Schneider</t>
    </r>
  </si>
  <si>
    <r>
      <t>Suministro e  instalación</t>
    </r>
    <r>
      <rPr>
        <b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Ivy LED</t>
    </r>
    <r>
      <rPr>
        <sz val="11"/>
        <color indexed="8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 xml:space="preserve">Panel LED SQ600 45W </t>
    </r>
    <r>
      <rPr>
        <sz val="11"/>
        <color indexed="8"/>
        <rFont val="Arial"/>
        <family val="2"/>
      </rPr>
      <t xml:space="preserve">NW - DL UNV IVY - P24242 - 3400lm -6500K marca Sylvania, incluye todos sus accesorios y otros. </t>
    </r>
  </si>
  <si>
    <r>
      <t>Suministro e instalación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Panel LED Redondo 24W </t>
    </r>
    <r>
      <rPr>
        <sz val="11"/>
        <color indexed="8"/>
        <rFont val="Arial"/>
        <family val="2"/>
      </rPr>
      <t>6K, P24339 - 1700lm - 6500K marca Sylvania, incluye todos sus accesorios y otros.</t>
    </r>
  </si>
  <si>
    <r>
      <t>Suministro e instalación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Panel LED Redondo 18W</t>
    </r>
    <r>
      <rPr>
        <sz val="11"/>
        <color indexed="8"/>
        <rFont val="Arial"/>
        <family val="2"/>
      </rPr>
      <t xml:space="preserve"> DL - NW - WW 35H - P24338 1200lm  - 6500K marca Sylvania, incluye todos sus accesorios y otros.</t>
    </r>
  </si>
  <si>
    <r>
      <t xml:space="preserve">Suministro, transporte e instalación de </t>
    </r>
    <r>
      <rPr>
        <b/>
        <sz val="11"/>
        <rFont val="Arial"/>
        <family val="2"/>
      </rPr>
      <t>Extractor  12"</t>
    </r>
    <r>
      <rPr>
        <sz val="11"/>
        <rFont val="Arial"/>
        <family val="2"/>
      </rPr>
      <t xml:space="preserve"> 110v, 1800rpm uso industrial AIR DYNAMIC</t>
    </r>
  </si>
  <si>
    <r>
      <t xml:space="preserve">Suministro, transporte e instalación de aplique de muro/ </t>
    </r>
    <r>
      <rPr>
        <b/>
        <sz val="11"/>
        <rFont val="Arial"/>
        <family val="2"/>
      </rPr>
      <t xml:space="preserve">LÁMPARA EMERGENCIA IT EXL 950, </t>
    </r>
    <r>
      <rPr>
        <sz val="11"/>
        <rFont val="Arial"/>
        <family val="2"/>
      </rPr>
      <t>Iluminaciones técnicas</t>
    </r>
  </si>
  <si>
    <r>
      <t xml:space="preserve">Suministro, transporte e instalación de aplique aviso emergencia  </t>
    </r>
    <r>
      <rPr>
        <b/>
        <sz val="11"/>
        <rFont val="Arial"/>
        <family val="2"/>
      </rPr>
      <t>"</t>
    </r>
    <r>
      <rPr>
        <b/>
        <i/>
        <sz val="11"/>
        <rFont val="Arial"/>
        <family val="2"/>
      </rPr>
      <t>SALIDA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IT , </t>
    </r>
    <r>
      <rPr>
        <sz val="11"/>
        <rFont val="Arial"/>
        <family val="2"/>
      </rPr>
      <t>Iluminaciones técnicas</t>
    </r>
  </si>
  <si>
    <r>
      <t xml:space="preserve">Salidas para </t>
    </r>
    <r>
      <rPr>
        <b/>
        <sz val="11"/>
        <color indexed="8"/>
        <rFont val="Arial"/>
        <family val="2"/>
      </rPr>
      <t>TOMA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ESPECIAL TRIFASICO </t>
    </r>
    <r>
      <rPr>
        <sz val="11"/>
        <color indexed="8"/>
        <rFont val="Arial"/>
        <family val="2"/>
      </rPr>
      <t>en tuberia conduit PVC y EMT Ø 3/4", caja especial galvanizada de 10x10" y demas accesorios. Incluye toma trifilar 50A/ - 220v debidamente instalado. Conductores  N°.8 AWG –THHN –THWN /Cu. El toma debe quedar etiquetado con banda plástica indicando el circuito al cual pertenece y su voltaje. Empalmes con conectores de resorte tipo 3M Scotchlok</t>
    </r>
  </si>
  <si>
    <r>
      <t xml:space="preserve">Salidas para </t>
    </r>
    <r>
      <rPr>
        <b/>
        <sz val="11"/>
        <color indexed="8"/>
        <rFont val="Arial"/>
        <family val="2"/>
      </rPr>
      <t xml:space="preserve">INTERRUPTOR CONMUTABLE </t>
    </r>
    <r>
      <rPr>
        <sz val="11"/>
        <color indexed="8"/>
        <rFont val="Arial"/>
        <family val="2"/>
      </rPr>
      <t xml:space="preserve">en tuberia conduit PVC y EMT Ø ½’’, caja PVC de 2x4" (o 4x4’’)  y demas accesorios.Incluye interruptor 15 Amp con punto a tierra,  conductores  N° 12 AWG –THHN –THWN /Cu incluida la linea a tierra (utilizar color negro para retornos). </t>
    </r>
  </si>
  <si>
    <r>
      <t xml:space="preserve">Salida lógica para  </t>
    </r>
    <r>
      <rPr>
        <b/>
        <sz val="11"/>
        <rFont val="Arial"/>
        <family val="2"/>
      </rPr>
      <t xml:space="preserve">VOZ Y DATOS </t>
    </r>
    <r>
      <rPr>
        <sz val="11"/>
        <rFont val="Arial"/>
        <family val="2"/>
      </rPr>
      <t xml:space="preserve"> en tuberia conduit PVC Ø ½’’,  terminales lisos tipo campana pvc y demas accesorios. Cable UTP cat 6A, caja pvc 2x2" (o cajas 4’’x4’’ donde se requiera),Fase Plate 2 puertos AMP, Jack RJ45.  El punto debe quedar etiquetado con banda plástica indicando el circuito al cual pertenece y debidamente certificado.</t>
    </r>
  </si>
  <si>
    <r>
      <t xml:space="preserve">Suministro e instalacion de </t>
    </r>
    <r>
      <rPr>
        <b/>
        <sz val="11"/>
        <rFont val="Arial"/>
        <family val="2"/>
      </rPr>
      <t>CANALETA METALICA</t>
    </r>
    <r>
      <rPr>
        <sz val="11"/>
        <rFont val="Arial"/>
        <family val="2"/>
      </rPr>
      <t xml:space="preserve"> metálica de con division y troqueles debidamente instalada. </t>
    </r>
  </si>
  <si>
    <r>
      <t xml:space="preserve">Alimentador eléctrico trifásico desde </t>
    </r>
    <r>
      <rPr>
        <b/>
        <sz val="11"/>
        <rFont val="Arial"/>
        <family val="2"/>
      </rPr>
      <t>TBG</t>
    </r>
    <r>
      <rPr>
        <sz val="11"/>
        <rFont val="Arial"/>
        <family val="2"/>
      </rPr>
      <t xml:space="preserve"> a</t>
    </r>
    <r>
      <rPr>
        <b/>
        <sz val="11"/>
        <rFont val="Arial"/>
        <family val="2"/>
      </rPr>
      <t xml:space="preserve"> TB, </t>
    </r>
    <r>
      <rPr>
        <sz val="11"/>
        <rFont val="Arial"/>
        <family val="2"/>
      </rPr>
      <t>3#4 +1#4 +1#8T, 1Ø 2" PVC DB.</t>
    </r>
  </si>
  <si>
    <t>Pintura vinilo tipo 1 para muros interiores primer y segundo piso</t>
  </si>
  <si>
    <t>Biologia 2 piso</t>
  </si>
  <si>
    <t>Pintura vinilo tipo 1 para muros interiores y exteriores 3 capas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</si>
  <si>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</si>
  <si>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</si>
  <si>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</si>
  <si>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</si>
  <si>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</si>
  <si>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</si>
  <si>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</si>
  <si>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</si>
  <si>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</si>
  <si>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</si>
  <si>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</si>
  <si>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</si>
  <si>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</si>
  <si>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</si>
  <si>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</si>
  <si>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6.4</t>
  </si>
  <si>
    <t>6.5</t>
  </si>
  <si>
    <t>6.6</t>
  </si>
  <si>
    <t>6.7</t>
  </si>
  <si>
    <t>8.2</t>
  </si>
  <si>
    <t>8.3</t>
  </si>
  <si>
    <t>8.4</t>
  </si>
  <si>
    <t>8.5</t>
  </si>
  <si>
    <t>8.6</t>
  </si>
  <si>
    <t>8.7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</si>
  <si>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</si>
  <si>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</si>
  <si>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</si>
  <si>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</si>
  <si>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</si>
  <si>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</si>
  <si>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</si>
  <si>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</si>
  <si>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</si>
  <si>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</si>
  <si>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</si>
  <si>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</si>
  <si>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</si>
  <si>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</si>
  <si>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</si>
  <si>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</si>
  <si>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13.3</t>
  </si>
  <si>
    <t>13.4</t>
  </si>
  <si>
    <t>13.5</t>
  </si>
  <si>
    <t>13.6</t>
  </si>
  <si>
    <t>13.7</t>
  </si>
  <si>
    <t>13.8</t>
  </si>
  <si>
    <t>14.2</t>
  </si>
  <si>
    <t>15.1</t>
  </si>
  <si>
    <t>CONSTRUCCIÓN DE 120 METROS CUADRADOS EN DOS PISOS PARA AMPLIACIÓN DEL ÁREA DE LOS LABORATORIOS DE QUÍMICA Y ADECUACIÓN ÁREAS DE TRABAJO DE LABORATORIOS DE BIOLOGÍA Y QUÍMICA DE LA FACULTAD DE CIENCIAS NATURALES, EXACTAS Y DE LA EDUCACIÓN</t>
  </si>
  <si>
    <t>COSTO TOTAL OBRA NUEVA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</si>
  <si>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</si>
  <si>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 xml:space="preserve">Salida de </t>
    </r>
    <r>
      <rPr>
        <b/>
        <sz val="11"/>
        <rFont val="Arial"/>
        <family val="2"/>
      </rPr>
      <t>ILUMINACIÓN</t>
    </r>
    <r>
      <rPr>
        <sz val="11"/>
        <rFont val="Arial"/>
        <family val="2"/>
      </rPr>
      <t xml:space="preserve"> 120 Voltios en tuberia conduit EMT Ø ½’’ y demas accesorios. Conductores N° 12 AWG –THHN –THWN incluida la línea a tierra, caja galvanizada 2x2" (o cajas 4’’x4’’ donde se requiera), toma 15A leviton con su tapa, empalmes con conectores de resorte tipo 3M,  cola en cable encauchetado 3x12 (±1Mt), tomacorriente y clavija aérea con polo a tierra para conexion de la luminaria. </t>
    </r>
  </si>
  <si>
    <r>
      <t xml:space="preserve">Salidas para </t>
    </r>
    <r>
      <rPr>
        <b/>
        <sz val="11"/>
        <rFont val="Arial"/>
        <family val="2"/>
      </rPr>
      <t>TOMAS NORMALES</t>
    </r>
    <r>
      <rPr>
        <sz val="11"/>
        <rFont val="Arial"/>
        <family val="2"/>
      </rPr>
      <t xml:space="preserve"> dobles monofásicos con polo a tierra en tuberia conduit PVC y EMT Ø ½’’ (o 3/4"  donde se requiera),  caja galvanizada de 2x4" (o 4x4’’)  y demas accesorios. Incluye toma 15 Amp. Levitón.  Conductores  N°. 12 AWG –THHN –THWN /Cu incluida la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</si>
  <si>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rFont val="Arial"/>
        <family val="2"/>
      </rPr>
      <t xml:space="preserve">INTERRUPTOR SENCILLO </t>
    </r>
    <r>
      <rPr>
        <sz val="11"/>
        <rFont val="Arial"/>
        <family val="2"/>
      </rPr>
      <t xml:space="preserve">en tuberia conduit PVC y EMT Ø ½’’, caja PVC de 2x4" (o 4x4’’)  y demas accesorios.Incluye interruptor 15 Amp con punto a tierra,  conductores  N° 12 AWG –THHN –THWN /Cu incluida la linea a tierra (utilizar color negro para retornos). </t>
    </r>
  </si>
  <si>
    <r>
      <t>Suministro e  instalación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Ivy LED - </t>
    </r>
    <r>
      <rPr>
        <b/>
        <sz val="11"/>
        <rFont val="Arial"/>
        <family val="2"/>
      </rPr>
      <t xml:space="preserve">Panel LED SQ600 45W </t>
    </r>
    <r>
      <rPr>
        <sz val="11"/>
        <rFont val="Arial"/>
        <family val="2"/>
      </rPr>
      <t xml:space="preserve">NW - DL UNV IVY - P24242 - 3400lm -6500K marca Sylvania, incluye todos sus accesorios y otros. </t>
    </r>
  </si>
  <si>
    <r>
      <t>Suministro e instalación de</t>
    </r>
    <r>
      <rPr>
        <b/>
        <sz val="11"/>
        <rFont val="Arial"/>
        <family val="2"/>
      </rPr>
      <t xml:space="preserve"> Panel LED Redondo 24W </t>
    </r>
    <r>
      <rPr>
        <sz val="11"/>
        <rFont val="Arial"/>
        <family val="2"/>
      </rPr>
      <t>6K, P24339 - 1700lm - 6500K marca Sylvania, incluye todos sus accesorios y otros.</t>
    </r>
  </si>
  <si>
    <r>
      <t xml:space="preserve">Salidas para </t>
    </r>
    <r>
      <rPr>
        <b/>
        <sz val="11"/>
        <rFont val="Arial"/>
        <family val="2"/>
      </rPr>
      <t xml:space="preserve">TOMA LÁMPARA EMERGENCIA y/o aviso "SALIDA" </t>
    </r>
    <r>
      <rPr>
        <sz val="11"/>
        <rFont val="Arial"/>
        <family val="2"/>
      </rPr>
      <t xml:space="preserve"> dobles monofásicos con polo a tierra en tuberia conduit  EMT Ø ½’’ (o 3/4"  donde se requiera),  caja galvanizada de 2x4" (o 4x4’’)  y demas accesorios. Incluye toma 15 Amp. Levitón.  Conductores  N°. 12 AWG –THHN –THWN /Cu incluida la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</si>
  <si>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rFont val="Arial"/>
        <family val="2"/>
      </rPr>
      <t>TOMAS GFCI</t>
    </r>
    <r>
      <rPr>
        <sz val="11"/>
        <rFont val="Arial"/>
        <family val="2"/>
      </rPr>
      <t xml:space="preserve"> dobles monofásicos con polo a tierra en tuberia conduit PVC y EMT Ø ½’’ (o 3/4"  donde se requiera),  caja galvanizada de 2x4" (o 4x4’’)  y demas accesorios. Incluye toma 15 Amp. Levitón.  Conductores  N°. 12 AWG –THHN –THWN /Cu incluida la línea a tierra. El toma debe quedar etiquetado con banda plástica indicando el circuito al cual pertenece. Empalmes con conectores de resorte tipo 3M Scotchlok</t>
    </r>
  </si>
  <si>
    <r>
      <t xml:space="preserve">Salidas para </t>
    </r>
    <r>
      <rPr>
        <b/>
        <sz val="11"/>
        <rFont val="Arial"/>
        <family val="2"/>
      </rPr>
      <t xml:space="preserve">INTERRUPTOR CONMUTABLE </t>
    </r>
    <r>
      <rPr>
        <sz val="11"/>
        <rFont val="Arial"/>
        <family val="2"/>
      </rPr>
      <t xml:space="preserve">en tuberia conduit PVC y EMT Ø ½’’, caja PVC de 2x4" (o 4x4’’)  y demas accesorios.Incluye interruptor 15 Amp con punto a tierra,  conductores  N° 12 AWG –THHN –THWN /Cu incluida la linea a tierra (utilizar color negro para retornos). </t>
    </r>
  </si>
  <si>
    <r>
      <rPr>
        <b/>
        <sz val="11"/>
        <rFont val="Arial"/>
        <family val="2"/>
      </rPr>
      <t xml:space="preserve">NOTA. </t>
    </r>
    <r>
      <rPr>
        <sz val="11"/>
        <rFont val="Arial"/>
        <family val="2"/>
      </rPr>
      <t>Todos los item incluyen en su valor las labores de regata, entubado, resane, cableado, aparateado, pruebas y aseo, además debe ejecutarce cumpliendo las normas NTC 2050 y el RETIE.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</si>
</sst>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;[Red]\-&quot;$&quot;#,##0"/>
    <numFmt numFmtId="167" formatCode="&quot;$&quot;#,##0.00;[Red]\-&quot;$&quot;#,##0.00"/>
    <numFmt numFmtId="168" formatCode="_-[$$-409]* #,##0.00_ ;_-[$$-409]* \-#,##0.00\ ;_-[$$-409]* &quot;-&quot;??_ ;_-@_ "/>
    <numFmt numFmtId="169" formatCode="_ * #,##0_ ;_ * \-#,##0_ ;_ * &quot;-&quot;??_ ;_ @_ "/>
    <numFmt numFmtId="170" formatCode="#,##0.0"/>
    <numFmt numFmtId="171" formatCode="&quot;$&quot;\ #,##0"/>
    <numFmt numFmtId="172" formatCode="[$$-240A]\ #,##0"/>
    <numFmt numFmtId="173" formatCode="_(&quot;$&quot;\ * #,##0_);_(&quot;$&quot;\ * \(#,##0\);_(&quot;$&quot;\ * &quot;-&quot;??_);_(@_)"/>
    <numFmt numFmtId="174" formatCode="&quot;$&quot;\ #,##0.00"/>
    <numFmt numFmtId="175" formatCode="_-[$$-409]* #,##0_ ;_-[$$-409]* \-#,##0\ ;_-[$$-409]* &quot;-&quot;??_ ;_-@_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9"/>
      <color theme="1"/>
      <name val="Arial"/>
      <family val="2"/>
    </font>
    <font>
      <vertAlign val="superscript"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19">
    <xf numFmtId="0" fontId="0" fillId="0" borderId="0" xfId="0"/>
    <xf numFmtId="0" fontId="0" fillId="0" borderId="0" xfId="0" applyFill="1"/>
    <xf numFmtId="4" fontId="5" fillId="0" borderId="1" xfId="11" applyNumberFormat="1" applyFont="1" applyFill="1" applyBorder="1" applyAlignment="1">
      <alignment horizontal="right" vertical="center" wrapText="1"/>
    </xf>
    <xf numFmtId="0" fontId="0" fillId="2" borderId="0" xfId="0" applyFill="1"/>
    <xf numFmtId="0" fontId="6" fillId="0" borderId="1" xfId="0" applyFont="1" applyBorder="1"/>
    <xf numFmtId="4" fontId="5" fillId="0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justify"/>
    </xf>
    <xf numFmtId="0" fontId="6" fillId="0" borderId="1" xfId="0" applyFont="1" applyFill="1" applyBorder="1"/>
    <xf numFmtId="3" fontId="6" fillId="0" borderId="1" xfId="0" applyNumberFormat="1" applyFont="1" applyFill="1" applyBorder="1"/>
    <xf numFmtId="0" fontId="0" fillId="0" borderId="0" xfId="0" applyAlignment="1">
      <alignment horizontal="left"/>
    </xf>
    <xf numFmtId="3" fontId="0" fillId="0" borderId="0" xfId="0" applyNumberFormat="1" applyFill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4" fontId="8" fillId="0" borderId="1" xfId="4" applyNumberFormat="1" applyFont="1" applyFill="1" applyBorder="1" applyAlignment="1">
      <alignment horizontal="center" vertical="center" wrapText="1"/>
    </xf>
    <xf numFmtId="4" fontId="8" fillId="0" borderId="1" xfId="11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3" fontId="5" fillId="0" borderId="1" xfId="1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wrapText="1"/>
    </xf>
    <xf numFmtId="4" fontId="5" fillId="0" borderId="1" xfId="3" applyNumberFormat="1" applyFont="1" applyFill="1" applyBorder="1" applyAlignment="1" applyProtection="1">
      <alignment horizontal="right"/>
      <protection locked="0" hidden="1"/>
    </xf>
    <xf numFmtId="0" fontId="9" fillId="0" borderId="1" xfId="0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3" fontId="5" fillId="0" borderId="1" xfId="11" applyNumberFormat="1" applyFont="1" applyFill="1" applyBorder="1" applyAlignment="1">
      <alignment horizontal="right" vertical="center" wrapText="1"/>
    </xf>
    <xf numFmtId="0" fontId="11" fillId="0" borderId="1" xfId="0" quotePrefix="1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</xf>
    <xf numFmtId="173" fontId="6" fillId="0" borderId="1" xfId="2" quotePrefix="1" applyNumberFormat="1" applyFont="1" applyFill="1" applyBorder="1" applyAlignment="1" applyProtection="1"/>
    <xf numFmtId="171" fontId="11" fillId="0" borderId="1" xfId="2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justify" wrapText="1"/>
    </xf>
    <xf numFmtId="0" fontId="10" fillId="0" borderId="1" xfId="0" quotePrefix="1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</xf>
    <xf numFmtId="173" fontId="9" fillId="0" borderId="1" xfId="2" quotePrefix="1" applyNumberFormat="1" applyFont="1" applyFill="1" applyBorder="1" applyAlignment="1" applyProtection="1"/>
    <xf numFmtId="171" fontId="10" fillId="0" borderId="1" xfId="2" applyNumberFormat="1" applyFont="1" applyFill="1" applyBorder="1" applyAlignment="1" applyProtection="1">
      <alignment horizontal="right"/>
    </xf>
    <xf numFmtId="164" fontId="7" fillId="0" borderId="0" xfId="0" applyNumberFormat="1" applyFont="1"/>
    <xf numFmtId="3" fontId="7" fillId="0" borderId="0" xfId="0" applyNumberFormat="1" applyFont="1"/>
    <xf numFmtId="174" fontId="0" fillId="0" borderId="0" xfId="0" applyNumberFormat="1" applyFill="1"/>
    <xf numFmtId="3" fontId="6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71" fontId="5" fillId="0" borderId="1" xfId="1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/>
    </xf>
    <xf numFmtId="166" fontId="1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/>
    </xf>
    <xf numFmtId="168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3" fontId="5" fillId="0" borderId="1" xfId="3" applyNumberFormat="1" applyFont="1" applyFill="1" applyBorder="1" applyAlignment="1" applyProtection="1">
      <alignment horizontal="right"/>
      <protection locked="0" hidden="1"/>
    </xf>
    <xf numFmtId="166" fontId="0" fillId="0" borderId="0" xfId="0" applyNumberFormat="1"/>
    <xf numFmtId="0" fontId="9" fillId="0" borderId="1" xfId="0" applyFont="1" applyBorder="1" applyAlignment="1">
      <alignment horizontal="center"/>
    </xf>
    <xf numFmtId="0" fontId="17" fillId="0" borderId="0" xfId="0" applyFont="1" applyFill="1"/>
    <xf numFmtId="0" fontId="0" fillId="0" borderId="2" xfId="0" applyFont="1" applyBorder="1" applyAlignment="1">
      <alignment horizontal="justify" vertical="justify"/>
    </xf>
    <xf numFmtId="0" fontId="7" fillId="2" borderId="0" xfId="0" applyFont="1" applyFill="1"/>
    <xf numFmtId="171" fontId="6" fillId="0" borderId="1" xfId="0" applyNumberFormat="1" applyFont="1" applyFill="1" applyBorder="1"/>
    <xf numFmtId="167" fontId="7" fillId="0" borderId="0" xfId="0" applyNumberFormat="1" applyFont="1"/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justify" vertical="justify" wrapText="1"/>
      <protection locked="0" hidden="1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168" fontId="5" fillId="0" borderId="1" xfId="0" applyNumberFormat="1" applyFont="1" applyFill="1" applyBorder="1" applyAlignment="1" applyProtection="1">
      <alignment horizontal="right"/>
      <protection locked="0" hidden="1"/>
    </xf>
    <xf numFmtId="0" fontId="5" fillId="0" borderId="1" xfId="0" applyFont="1" applyFill="1" applyBorder="1" applyAlignment="1" applyProtection="1">
      <alignment horizontal="justify" vertical="justify" wrapText="1"/>
      <protection locked="0" hidden="1"/>
    </xf>
    <xf numFmtId="4" fontId="5" fillId="0" borderId="1" xfId="0" applyNumberFormat="1" applyFont="1" applyFill="1" applyBorder="1" applyAlignment="1" applyProtection="1">
      <alignment horizontal="center"/>
      <protection locked="0" hidden="1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 hidden="1"/>
    </xf>
    <xf numFmtId="168" fontId="8" fillId="0" borderId="1" xfId="0" applyNumberFormat="1" applyFont="1" applyFill="1" applyBorder="1" applyAlignment="1" applyProtection="1">
      <alignment horizontal="right"/>
      <protection locked="0" hidden="1"/>
    </xf>
    <xf numFmtId="172" fontId="6" fillId="0" borderId="1" xfId="0" applyNumberFormat="1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center"/>
    </xf>
    <xf numFmtId="169" fontId="5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169" fontId="5" fillId="0" borderId="1" xfId="11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 applyProtection="1">
      <alignment horizontal="center"/>
      <protection locked="0"/>
    </xf>
    <xf numFmtId="4" fontId="5" fillId="0" borderId="1" xfId="3" applyNumberFormat="1" applyFont="1" applyFill="1" applyBorder="1" applyAlignment="1" applyProtection="1">
      <alignment horizontal="center"/>
      <protection locked="0" hidden="1"/>
    </xf>
    <xf numFmtId="0" fontId="8" fillId="0" borderId="1" xfId="0" applyFont="1" applyFill="1" applyBorder="1" applyAlignment="1">
      <alignment horizontal="justify"/>
    </xf>
    <xf numFmtId="175" fontId="5" fillId="0" borderId="1" xfId="0" applyNumberFormat="1" applyFont="1" applyFill="1" applyBorder="1" applyAlignment="1" applyProtection="1">
      <alignment horizontal="right"/>
      <protection locked="0" hidden="1"/>
    </xf>
    <xf numFmtId="175" fontId="8" fillId="0" borderId="1" xfId="0" applyNumberFormat="1" applyFont="1" applyFill="1" applyBorder="1" applyAlignment="1" applyProtection="1">
      <alignment horizontal="right"/>
      <protection locked="0" hidden="1"/>
    </xf>
    <xf numFmtId="175" fontId="9" fillId="0" borderId="1" xfId="0" applyNumberFormat="1" applyFont="1" applyFill="1" applyBorder="1"/>
    <xf numFmtId="175" fontId="5" fillId="0" borderId="1" xfId="1" applyNumberFormat="1" applyFont="1" applyFill="1" applyBorder="1"/>
    <xf numFmtId="175" fontId="5" fillId="0" borderId="1" xfId="3" applyNumberFormat="1" applyFont="1" applyFill="1" applyBorder="1" applyAlignment="1" applyProtection="1">
      <alignment horizontal="right"/>
      <protection locked="0" hidden="1"/>
    </xf>
    <xf numFmtId="175" fontId="8" fillId="0" borderId="1" xfId="3" applyNumberFormat="1" applyFont="1" applyFill="1" applyBorder="1" applyAlignment="1" applyProtection="1">
      <alignment horizontal="right"/>
      <protection locked="0" hidden="1"/>
    </xf>
    <xf numFmtId="175" fontId="6" fillId="0" borderId="1" xfId="0" applyNumberFormat="1" applyFont="1" applyFill="1" applyBorder="1"/>
    <xf numFmtId="175" fontId="5" fillId="0" borderId="1" xfId="0" applyNumberFormat="1" applyFont="1" applyFill="1" applyBorder="1" applyAlignment="1">
      <alignment horizontal="center"/>
    </xf>
    <xf numFmtId="175" fontId="5" fillId="0" borderId="1" xfId="1" applyNumberFormat="1" applyFont="1" applyFill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Fill="1" applyBorder="1" applyAlignment="1">
      <alignment horizontal="center"/>
    </xf>
    <xf numFmtId="175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2">
    <cellStyle name="Millares" xfId="1" builtinId="3"/>
    <cellStyle name="Millares 2 2" xfId="8"/>
    <cellStyle name="Millares 3" xfId="10"/>
    <cellStyle name="Moneda" xfId="2" builtinId="4"/>
    <cellStyle name="Normal" xfId="0" builtinId="0"/>
    <cellStyle name="Normal 2" xfId="3"/>
    <cellStyle name="Normal 2 10 3" xfId="11"/>
    <cellStyle name="Normal 2 2" xfId="4"/>
    <cellStyle name="Normal 2 2 2" xfId="7"/>
    <cellStyle name="Normal 2 2 2 2" xfId="9"/>
    <cellStyle name="Normal 20" xfId="5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9526</xdr:rowOff>
    </xdr:from>
    <xdr:to>
      <xdr:col>1</xdr:col>
      <xdr:colOff>352425</xdr:colOff>
      <xdr:row>4</xdr:row>
      <xdr:rowOff>123826</xdr:rowOff>
    </xdr:to>
    <xdr:pic>
      <xdr:nvPicPr>
        <xdr:cNvPr id="3" name="Picture 1" descr="Escudo Unicacua">
          <a:extLst>
            <a:ext uri="{FF2B5EF4-FFF2-40B4-BE49-F238E27FC236}">
              <a16:creationId xmlns:a16="http://schemas.microsoft.com/office/drawing/2014/main" xmlns="" id="{6B41D855-D70B-4647-A0AA-A49223DD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6"/>
          <a:ext cx="885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28575</xdr:rowOff>
    </xdr:from>
    <xdr:to>
      <xdr:col>1</xdr:col>
      <xdr:colOff>619125</xdr:colOff>
      <xdr:row>3</xdr:row>
      <xdr:rowOff>152400</xdr:rowOff>
    </xdr:to>
    <xdr:pic>
      <xdr:nvPicPr>
        <xdr:cNvPr id="2" name="Picture 1" descr="Escudo Unicacua">
          <a:extLst>
            <a:ext uri="{FF2B5EF4-FFF2-40B4-BE49-F238E27FC236}">
              <a16:creationId xmlns:a16="http://schemas.microsoft.com/office/drawing/2014/main" xmlns="" id="{6B41D855-D70B-4647-A0AA-A49223DD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676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RQUETIPO\Downloads\PRESUPUESTO%20SEGUNDA%20ETA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LHY%20YEPES/Downloads/PRESUPUESTO%20ESTRUCTURAL-ARQUITECTONICO%20BICENTENAR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CAUCA/entrega%20liquidacion%20contrato%202016/LABORATORIOS%20FICIA%20Y%20QUIMICA/11.%20depurado%20PRESUPUESTO%20LABORATORIO%20QUI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S"/>
      <sheetName val="PRIMARIOS"/>
      <sheetName val="SUBAPUS"/>
      <sheetName val="DURACIONES"/>
      <sheetName val="PRESUPUESTO SEGUNDA ETAPA"/>
    </sheetNames>
    <sheetDataSet>
      <sheetData sheetId="0" refreshError="1"/>
      <sheetData sheetId="1" refreshError="1">
        <row r="24">
          <cell r="B24" t="str">
            <v>CAMPAMENTO DE OBRA</v>
          </cell>
        </row>
        <row r="50">
          <cell r="C50">
            <v>13857</v>
          </cell>
        </row>
        <row r="79">
          <cell r="C79">
            <v>14095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1"/>
      <sheetName val="Hoja2"/>
      <sheetName val="Hoja3"/>
    </sheetNames>
    <sheetDataSet>
      <sheetData sheetId="0" refreshError="1">
        <row r="12">
          <cell r="E12">
            <v>16250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.quimica (2)"/>
      <sheetName val="obra nueva quimica"/>
      <sheetName val="adec.biologia"/>
      <sheetName val="QUIMICA"/>
      <sheetName val="biologia"/>
      <sheetName val="Hoja3 (2)"/>
      <sheetName val="LAB AGUAS"/>
      <sheetName val="resumen"/>
    </sheetNames>
    <sheetDataSet>
      <sheetData sheetId="0" refreshError="1"/>
      <sheetData sheetId="1" refreshError="1"/>
      <sheetData sheetId="2" refreshError="1">
        <row r="5">
          <cell r="D5">
            <v>7896</v>
          </cell>
        </row>
        <row r="6">
          <cell r="D6">
            <v>15504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A94" zoomScaleNormal="100" workbookViewId="0">
      <selection activeCell="D22" sqref="D22"/>
    </sheetView>
  </sheetViews>
  <sheetFormatPr baseColWidth="10" defaultRowHeight="15" x14ac:dyDescent="0.25"/>
  <cols>
    <col min="1" max="1" width="7.5703125" style="1" customWidth="1"/>
    <col min="2" max="2" width="40.7109375" style="1" customWidth="1"/>
    <col min="3" max="4" width="11.42578125" style="1"/>
    <col min="5" max="5" width="16.5703125" style="1" customWidth="1"/>
    <col min="6" max="6" width="18.5703125" style="1" customWidth="1"/>
    <col min="7" max="7" width="25.7109375" hidden="1" customWidth="1"/>
    <col min="8" max="8" width="11.42578125" hidden="1" customWidth="1"/>
    <col min="9" max="10" width="0" hidden="1" customWidth="1"/>
    <col min="11" max="11" width="29.42578125" hidden="1" customWidth="1"/>
    <col min="12" max="13" width="0" hidden="1" customWidth="1"/>
    <col min="16" max="16" width="14.7109375" bestFit="1" customWidth="1"/>
  </cols>
  <sheetData>
    <row r="1" spans="1:16" x14ac:dyDescent="0.25"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79" t="s">
        <v>153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B3" s="79" t="s">
        <v>154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B4" s="79" t="s">
        <v>155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54" customHeight="1" x14ac:dyDescent="0.25">
      <c r="A6" s="117" t="s">
        <v>313</v>
      </c>
      <c r="B6" s="117"/>
      <c r="C6" s="117"/>
      <c r="D6" s="117"/>
      <c r="E6" s="117"/>
      <c r="F6" s="117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2" t="s">
        <v>156</v>
      </c>
      <c r="B8" s="12" t="s">
        <v>157</v>
      </c>
      <c r="C8" s="12" t="s">
        <v>21</v>
      </c>
      <c r="D8" s="12" t="s">
        <v>158</v>
      </c>
      <c r="E8" s="12" t="s">
        <v>159</v>
      </c>
      <c r="F8" s="12" t="s">
        <v>160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 customHeight="1" x14ac:dyDescent="0.25">
      <c r="A9" s="22"/>
      <c r="B9" s="116" t="s">
        <v>25</v>
      </c>
      <c r="C9" s="116"/>
      <c r="D9" s="116"/>
      <c r="E9" s="116"/>
      <c r="F9" s="116"/>
    </row>
    <row r="10" spans="1:16" x14ac:dyDescent="0.25">
      <c r="A10" s="22">
        <v>1</v>
      </c>
      <c r="B10" s="86" t="s">
        <v>15</v>
      </c>
      <c r="C10" s="87"/>
      <c r="D10" s="88"/>
      <c r="E10" s="89"/>
      <c r="F10" s="89"/>
    </row>
    <row r="11" spans="1:16" x14ac:dyDescent="0.25">
      <c r="A11" s="22" t="s">
        <v>161</v>
      </c>
      <c r="B11" s="90" t="s">
        <v>97</v>
      </c>
      <c r="C11" s="87" t="s">
        <v>4</v>
      </c>
      <c r="D11" s="91">
        <v>60</v>
      </c>
      <c r="E11" s="89">
        <v>1051</v>
      </c>
      <c r="F11" s="104">
        <f t="shared" ref="F11:F16" si="0">E11*D11</f>
        <v>63060</v>
      </c>
    </row>
    <row r="12" spans="1:16" ht="15.75" customHeight="1" x14ac:dyDescent="0.25">
      <c r="A12" s="22" t="s">
        <v>162</v>
      </c>
      <c r="B12" s="90" t="s">
        <v>50</v>
      </c>
      <c r="C12" s="87" t="s">
        <v>8</v>
      </c>
      <c r="D12" s="91">
        <v>61</v>
      </c>
      <c r="E12" s="89">
        <v>8191</v>
      </c>
      <c r="F12" s="104">
        <f t="shared" si="0"/>
        <v>499651</v>
      </c>
    </row>
    <row r="13" spans="1:16" ht="28.5" x14ac:dyDescent="0.25">
      <c r="A13" s="22" t="s">
        <v>163</v>
      </c>
      <c r="B13" s="90" t="s">
        <v>98</v>
      </c>
      <c r="C13" s="87" t="s">
        <v>6</v>
      </c>
      <c r="D13" s="91">
        <v>32</v>
      </c>
      <c r="E13" s="89">
        <f>[1]APUS!$C$50</f>
        <v>13857</v>
      </c>
      <c r="F13" s="104">
        <f t="shared" si="0"/>
        <v>443424</v>
      </c>
    </row>
    <row r="14" spans="1:16" ht="38.25" customHeight="1" x14ac:dyDescent="0.25">
      <c r="A14" s="22" t="s">
        <v>164</v>
      </c>
      <c r="B14" s="90" t="s">
        <v>52</v>
      </c>
      <c r="C14" s="87" t="s">
        <v>3</v>
      </c>
      <c r="D14" s="91">
        <v>46.75</v>
      </c>
      <c r="E14" s="89">
        <v>4716</v>
      </c>
      <c r="F14" s="104">
        <f t="shared" si="0"/>
        <v>220473</v>
      </c>
    </row>
    <row r="15" spans="1:16" ht="28.5" customHeight="1" x14ac:dyDescent="0.25">
      <c r="A15" s="22" t="s">
        <v>165</v>
      </c>
      <c r="B15" s="90" t="s">
        <v>149</v>
      </c>
      <c r="C15" s="87" t="s">
        <v>6</v>
      </c>
      <c r="D15" s="91">
        <v>17.600000000000001</v>
      </c>
      <c r="E15" s="89">
        <f>[1]APUS!$C$79</f>
        <v>14095</v>
      </c>
      <c r="F15" s="104">
        <f t="shared" si="0"/>
        <v>248072.00000000003</v>
      </c>
    </row>
    <row r="16" spans="1:16" ht="28.5" x14ac:dyDescent="0.25">
      <c r="A16" s="22" t="s">
        <v>166</v>
      </c>
      <c r="B16" s="90" t="s">
        <v>99</v>
      </c>
      <c r="C16" s="87" t="s">
        <v>6</v>
      </c>
      <c r="D16" s="91">
        <v>100</v>
      </c>
      <c r="E16" s="89">
        <f>[2]Hoja4!$E$12</f>
        <v>16250</v>
      </c>
      <c r="F16" s="104">
        <f t="shared" si="0"/>
        <v>1625000</v>
      </c>
    </row>
    <row r="17" spans="1:11" s="14" customFormat="1" x14ac:dyDescent="0.25">
      <c r="A17" s="29"/>
      <c r="B17" s="86" t="s">
        <v>18</v>
      </c>
      <c r="C17" s="92"/>
      <c r="D17" s="93"/>
      <c r="E17" s="94"/>
      <c r="F17" s="105">
        <f>SUM(F11:F16)</f>
        <v>3099680</v>
      </c>
    </row>
    <row r="18" spans="1:11" s="14" customFormat="1" ht="18" customHeight="1" x14ac:dyDescent="0.25">
      <c r="A18" s="29"/>
      <c r="B18" s="86" t="s">
        <v>14</v>
      </c>
      <c r="C18" s="92"/>
      <c r="D18" s="93"/>
      <c r="E18" s="94"/>
      <c r="F18" s="105"/>
    </row>
    <row r="19" spans="1:11" ht="28.5" x14ac:dyDescent="0.25">
      <c r="A19" s="22" t="s">
        <v>170</v>
      </c>
      <c r="B19" s="90" t="s">
        <v>130</v>
      </c>
      <c r="C19" s="87" t="s">
        <v>4</v>
      </c>
      <c r="D19" s="91">
        <v>59.7</v>
      </c>
      <c r="E19" s="89">
        <v>27550</v>
      </c>
      <c r="F19" s="104">
        <f t="shared" ref="F19:F26" si="1">E19*D19</f>
        <v>1644735</v>
      </c>
      <c r="H19">
        <f>1*1*0.6</f>
        <v>0.6</v>
      </c>
      <c r="I19">
        <f>H19*6</f>
        <v>3.5999999999999996</v>
      </c>
    </row>
    <row r="20" spans="1:11" ht="42.75" x14ac:dyDescent="0.25">
      <c r="A20" s="22" t="s">
        <v>171</v>
      </c>
      <c r="B20" s="90" t="s">
        <v>100</v>
      </c>
      <c r="C20" s="87" t="s">
        <v>6</v>
      </c>
      <c r="D20" s="91">
        <v>6.75</v>
      </c>
      <c r="E20" s="89">
        <v>546992</v>
      </c>
      <c r="F20" s="104">
        <f t="shared" si="1"/>
        <v>3692196</v>
      </c>
      <c r="G20">
        <f>(1.5*1.5*0.5)*6</f>
        <v>6.75</v>
      </c>
    </row>
    <row r="21" spans="1:11" ht="28.5" x14ac:dyDescent="0.25">
      <c r="A21" s="22" t="s">
        <v>172</v>
      </c>
      <c r="B21" s="90" t="s">
        <v>101</v>
      </c>
      <c r="C21" s="87" t="s">
        <v>22</v>
      </c>
      <c r="D21" s="91">
        <v>59.1</v>
      </c>
      <c r="E21" s="89">
        <v>60971</v>
      </c>
      <c r="F21" s="104">
        <f t="shared" si="1"/>
        <v>3603386.1</v>
      </c>
      <c r="G21">
        <f>6*5</f>
        <v>30</v>
      </c>
      <c r="H21">
        <f>9.7*3</f>
        <v>29.099999999999998</v>
      </c>
    </row>
    <row r="22" spans="1:11" ht="28.5" x14ac:dyDescent="0.25">
      <c r="A22" s="22" t="s">
        <v>173</v>
      </c>
      <c r="B22" s="90" t="s">
        <v>131</v>
      </c>
      <c r="C22" s="87" t="s">
        <v>46</v>
      </c>
      <c r="D22" s="91">
        <v>63.72</v>
      </c>
      <c r="E22" s="89">
        <v>63971</v>
      </c>
      <c r="F22" s="104">
        <f t="shared" si="1"/>
        <v>4076232.12</v>
      </c>
      <c r="G22">
        <f>59.1+59.1</f>
        <v>118.2</v>
      </c>
      <c r="H22">
        <f>5*2</f>
        <v>10</v>
      </c>
    </row>
    <row r="23" spans="1:11" ht="28.5" x14ac:dyDescent="0.25">
      <c r="A23" s="22" t="s">
        <v>174</v>
      </c>
      <c r="B23" s="90" t="s">
        <v>102</v>
      </c>
      <c r="C23" s="87" t="s">
        <v>46</v>
      </c>
      <c r="D23" s="91">
        <v>82</v>
      </c>
      <c r="E23" s="89">
        <v>61561</v>
      </c>
      <c r="F23" s="104">
        <f t="shared" si="1"/>
        <v>5048002</v>
      </c>
      <c r="H23">
        <f>3.5*0.3*0.3</f>
        <v>0.315</v>
      </c>
      <c r="I23">
        <f>H23*9</f>
        <v>2.835</v>
      </c>
    </row>
    <row r="24" spans="1:11" ht="29.25" customHeight="1" x14ac:dyDescent="0.25">
      <c r="A24" s="22" t="s">
        <v>175</v>
      </c>
      <c r="B24" s="90" t="s">
        <v>132</v>
      </c>
      <c r="C24" s="22" t="s">
        <v>4</v>
      </c>
      <c r="D24" s="38">
        <v>34.380000000000003</v>
      </c>
      <c r="E24" s="95">
        <v>100744</v>
      </c>
      <c r="F24" s="104">
        <f t="shared" si="1"/>
        <v>3463578.72</v>
      </c>
      <c r="G24">
        <f>68*0.12</f>
        <v>8.16</v>
      </c>
    </row>
    <row r="25" spans="1:11" ht="29.25" customHeight="1" x14ac:dyDescent="0.25">
      <c r="A25" s="22" t="s">
        <v>176</v>
      </c>
      <c r="B25" s="90" t="s">
        <v>106</v>
      </c>
      <c r="C25" s="22" t="s">
        <v>4</v>
      </c>
      <c r="D25" s="22">
        <v>34.380000000000003</v>
      </c>
      <c r="E25" s="95">
        <v>111442</v>
      </c>
      <c r="F25" s="104">
        <f t="shared" si="1"/>
        <v>3831375.9600000004</v>
      </c>
    </row>
    <row r="26" spans="1:11" ht="42.75" x14ac:dyDescent="0.25">
      <c r="A26" s="22" t="s">
        <v>177</v>
      </c>
      <c r="B26" s="90" t="s">
        <v>133</v>
      </c>
      <c r="C26" s="22" t="s">
        <v>6</v>
      </c>
      <c r="D26" s="22">
        <v>0.66</v>
      </c>
      <c r="E26" s="95">
        <v>650003</v>
      </c>
      <c r="F26" s="104">
        <f t="shared" si="1"/>
        <v>429001.98000000004</v>
      </c>
      <c r="G26" s="80"/>
    </row>
    <row r="27" spans="1:11" x14ac:dyDescent="0.25">
      <c r="A27" s="22" t="s">
        <v>178</v>
      </c>
      <c r="B27" s="90" t="s">
        <v>103</v>
      </c>
      <c r="C27" s="45" t="s">
        <v>22</v>
      </c>
      <c r="D27" s="96">
        <v>29.7</v>
      </c>
      <c r="E27" s="97">
        <v>42821</v>
      </c>
      <c r="F27" s="104">
        <f>E27*D27</f>
        <v>1271783.7</v>
      </c>
    </row>
    <row r="28" spans="1:11" s="14" customFormat="1" x14ac:dyDescent="0.25">
      <c r="A28" s="29"/>
      <c r="B28" s="20" t="s">
        <v>18</v>
      </c>
      <c r="C28" s="29"/>
      <c r="D28" s="29"/>
      <c r="E28" s="20"/>
      <c r="F28" s="106">
        <f>SUM(F19:F27)</f>
        <v>27060291.579999998</v>
      </c>
      <c r="G28" s="81"/>
    </row>
    <row r="29" spans="1:11" s="14" customFormat="1" x14ac:dyDescent="0.25">
      <c r="A29" s="29">
        <v>3</v>
      </c>
      <c r="B29" s="20" t="s">
        <v>47</v>
      </c>
      <c r="C29" s="29"/>
      <c r="D29" s="29"/>
      <c r="E29" s="20"/>
      <c r="F29" s="106"/>
      <c r="G29" s="81"/>
    </row>
    <row r="30" spans="1:11" ht="33.75" customHeight="1" x14ac:dyDescent="0.25">
      <c r="A30" s="22" t="s">
        <v>181</v>
      </c>
      <c r="B30" s="90" t="s">
        <v>105</v>
      </c>
      <c r="C30" s="45" t="s">
        <v>48</v>
      </c>
      <c r="D30" s="96">
        <v>2241.9299999999998</v>
      </c>
      <c r="E30" s="98">
        <v>3512</v>
      </c>
      <c r="F30" s="107">
        <f>D30*E30</f>
        <v>7873658.1599999992</v>
      </c>
      <c r="G30" s="3">
        <f>16.02*82</f>
        <v>1313.6399999999999</v>
      </c>
      <c r="H30">
        <f>16.02*180</f>
        <v>2883.6</v>
      </c>
      <c r="K30" s="6" t="s">
        <v>104</v>
      </c>
    </row>
    <row r="31" spans="1:11" ht="16.5" x14ac:dyDescent="0.25">
      <c r="A31" s="22" t="s">
        <v>182</v>
      </c>
      <c r="B31" s="90" t="s">
        <v>49</v>
      </c>
      <c r="C31" s="45" t="s">
        <v>315</v>
      </c>
      <c r="D31" s="99">
        <v>34.799999999999997</v>
      </c>
      <c r="E31" s="98">
        <v>4500</v>
      </c>
      <c r="F31" s="107">
        <f>D31*E31</f>
        <v>156600</v>
      </c>
      <c r="G31" s="3"/>
    </row>
    <row r="32" spans="1:11" s="14" customFormat="1" x14ac:dyDescent="0.25">
      <c r="A32" s="29"/>
      <c r="B32" s="20" t="s">
        <v>18</v>
      </c>
      <c r="C32" s="29"/>
      <c r="D32" s="29"/>
      <c r="E32" s="20"/>
      <c r="F32" s="106">
        <f>SUM(F30:F31)</f>
        <v>8030258.1599999992</v>
      </c>
      <c r="G32" s="81"/>
    </row>
    <row r="33" spans="1:13" s="14" customFormat="1" x14ac:dyDescent="0.25">
      <c r="A33" s="29">
        <v>4</v>
      </c>
      <c r="B33" s="20" t="s">
        <v>12</v>
      </c>
      <c r="C33" s="29"/>
      <c r="D33" s="29"/>
      <c r="E33" s="20"/>
      <c r="F33" s="106"/>
    </row>
    <row r="34" spans="1:13" ht="57" x14ac:dyDescent="0.25">
      <c r="A34" s="22" t="s">
        <v>183</v>
      </c>
      <c r="B34" s="90" t="s">
        <v>134</v>
      </c>
      <c r="C34" s="24" t="s">
        <v>48</v>
      </c>
      <c r="D34" s="24">
        <v>581.4</v>
      </c>
      <c r="E34" s="100">
        <v>7538</v>
      </c>
      <c r="F34" s="104">
        <f>E34*D34</f>
        <v>4382593.2</v>
      </c>
      <c r="J34">
        <v>3.46</v>
      </c>
      <c r="K34">
        <v>90</v>
      </c>
      <c r="L34">
        <f>J34*K34</f>
        <v>311.39999999999998</v>
      </c>
    </row>
    <row r="35" spans="1:13" s="14" customFormat="1" x14ac:dyDescent="0.25">
      <c r="A35" s="29"/>
      <c r="B35" s="20" t="s">
        <v>18</v>
      </c>
      <c r="C35" s="29"/>
      <c r="D35" s="29"/>
      <c r="E35" s="20"/>
      <c r="F35" s="106">
        <f>F34</f>
        <v>4382593.2</v>
      </c>
      <c r="G35" s="14">
        <f>59.6+(4.2*5)+1.8+2</f>
        <v>84.399999999999991</v>
      </c>
      <c r="H35" s="14">
        <f>G35*10</f>
        <v>843.99999999999989</v>
      </c>
      <c r="K35" s="14">
        <f>44.77*2</f>
        <v>89.54</v>
      </c>
    </row>
    <row r="36" spans="1:13" s="14" customFormat="1" x14ac:dyDescent="0.25">
      <c r="A36" s="29">
        <v>5</v>
      </c>
      <c r="B36" s="20" t="s">
        <v>10</v>
      </c>
      <c r="C36" s="29"/>
      <c r="D36" s="29"/>
      <c r="E36" s="20"/>
      <c r="F36" s="106"/>
      <c r="G36" s="14">
        <f>44.7+44.7+(4.2*10)+7.6</f>
        <v>139</v>
      </c>
      <c r="H36" s="14">
        <f>G36*10</f>
        <v>1390</v>
      </c>
    </row>
    <row r="37" spans="1:13" x14ac:dyDescent="0.25">
      <c r="A37" s="22" t="s">
        <v>188</v>
      </c>
      <c r="B37" s="90" t="s">
        <v>109</v>
      </c>
      <c r="C37" s="101" t="s">
        <v>4</v>
      </c>
      <c r="D37" s="102">
        <v>293</v>
      </c>
      <c r="E37" s="28">
        <v>44458</v>
      </c>
      <c r="F37" s="108">
        <f>D37*E37</f>
        <v>13026194</v>
      </c>
    </row>
    <row r="38" spans="1:13" x14ac:dyDescent="0.25">
      <c r="A38" s="22" t="s">
        <v>189</v>
      </c>
      <c r="B38" s="90" t="s">
        <v>135</v>
      </c>
      <c r="C38" s="22" t="s">
        <v>4</v>
      </c>
      <c r="D38" s="22">
        <v>586</v>
      </c>
      <c r="E38" s="7">
        <v>15334</v>
      </c>
      <c r="F38" s="108">
        <f>D38*E38</f>
        <v>8985724</v>
      </c>
      <c r="G38">
        <f>(9.65*2)+(6*5)</f>
        <v>49.3</v>
      </c>
      <c r="H38">
        <f>G38*10</f>
        <v>493</v>
      </c>
      <c r="I38">
        <f>H38*2</f>
        <v>986</v>
      </c>
      <c r="K38">
        <f>1.5*1.5</f>
        <v>2.25</v>
      </c>
      <c r="L38">
        <f>K38*10</f>
        <v>22.5</v>
      </c>
      <c r="M38">
        <f>I38-L38</f>
        <v>963.5</v>
      </c>
    </row>
    <row r="39" spans="1:13" x14ac:dyDescent="0.25">
      <c r="A39" s="22" t="s">
        <v>190</v>
      </c>
      <c r="B39" s="90" t="s">
        <v>111</v>
      </c>
      <c r="C39" s="22" t="s">
        <v>4</v>
      </c>
      <c r="D39" s="22">
        <v>586</v>
      </c>
      <c r="E39" s="7">
        <v>6674</v>
      </c>
      <c r="F39" s="108">
        <f>D39*E39</f>
        <v>3910964</v>
      </c>
    </row>
    <row r="40" spans="1:13" ht="28.5" x14ac:dyDescent="0.25">
      <c r="A40" s="22" t="s">
        <v>191</v>
      </c>
      <c r="B40" s="90" t="s">
        <v>136</v>
      </c>
      <c r="C40" s="22" t="s">
        <v>4</v>
      </c>
      <c r="D40" s="22">
        <v>591</v>
      </c>
      <c r="E40" s="7">
        <v>7909</v>
      </c>
      <c r="F40" s="108">
        <f>D40*E40</f>
        <v>4674219</v>
      </c>
    </row>
    <row r="41" spans="1:13" s="14" customFormat="1" x14ac:dyDescent="0.25">
      <c r="A41" s="29"/>
      <c r="B41" s="53" t="s">
        <v>18</v>
      </c>
      <c r="C41" s="29"/>
      <c r="D41" s="29"/>
      <c r="E41" s="20"/>
      <c r="F41" s="109">
        <f>SUM(F37:F40)</f>
        <v>30597101</v>
      </c>
    </row>
    <row r="42" spans="1:13" s="14" customFormat="1" x14ac:dyDescent="0.25">
      <c r="A42" s="29">
        <v>6</v>
      </c>
      <c r="B42" s="20" t="s">
        <v>11</v>
      </c>
      <c r="C42" s="29"/>
      <c r="D42" s="29"/>
      <c r="E42" s="20"/>
      <c r="F42" s="106"/>
    </row>
    <row r="43" spans="1:13" x14ac:dyDescent="0.25">
      <c r="A43" s="22" t="s">
        <v>194</v>
      </c>
      <c r="B43" s="90" t="s">
        <v>54</v>
      </c>
      <c r="C43" s="22" t="s">
        <v>3</v>
      </c>
      <c r="D43" s="22">
        <v>140.63</v>
      </c>
      <c r="E43" s="7">
        <v>87411</v>
      </c>
      <c r="F43" s="108">
        <f>D43*E43</f>
        <v>12292608.93</v>
      </c>
    </row>
    <row r="44" spans="1:13" x14ac:dyDescent="0.25">
      <c r="A44" s="22" t="s">
        <v>195</v>
      </c>
      <c r="B44" s="90" t="s">
        <v>55</v>
      </c>
      <c r="C44" s="22" t="s">
        <v>7</v>
      </c>
      <c r="D44" s="22">
        <v>108.3</v>
      </c>
      <c r="E44" s="7">
        <v>18502</v>
      </c>
      <c r="F44" s="108">
        <f>D44*E44</f>
        <v>2003766.5999999999</v>
      </c>
    </row>
    <row r="45" spans="1:13" ht="28.5" x14ac:dyDescent="0.25">
      <c r="A45" s="22" t="s">
        <v>196</v>
      </c>
      <c r="B45" s="90" t="s">
        <v>37</v>
      </c>
      <c r="C45" s="22" t="s">
        <v>2</v>
      </c>
      <c r="D45" s="22">
        <v>90.36</v>
      </c>
      <c r="E45" s="7">
        <v>57681</v>
      </c>
      <c r="F45" s="108">
        <f>D45*E45</f>
        <v>5212055.16</v>
      </c>
    </row>
    <row r="46" spans="1:13" s="14" customFormat="1" x14ac:dyDescent="0.25">
      <c r="A46" s="29"/>
      <c r="B46" s="20" t="s">
        <v>18</v>
      </c>
      <c r="C46" s="29"/>
      <c r="D46" s="29"/>
      <c r="E46" s="20"/>
      <c r="F46" s="106">
        <f>SUM(F43:F45)</f>
        <v>19508430.689999998</v>
      </c>
    </row>
    <row r="47" spans="1:13" s="14" customFormat="1" x14ac:dyDescent="0.25">
      <c r="A47" s="29">
        <v>7</v>
      </c>
      <c r="B47" s="53" t="s">
        <v>12</v>
      </c>
      <c r="C47" s="29"/>
      <c r="D47" s="29"/>
      <c r="E47" s="20"/>
      <c r="F47" s="106"/>
    </row>
    <row r="48" spans="1:13" ht="28.5" x14ac:dyDescent="0.25">
      <c r="A48" s="22" t="s">
        <v>197</v>
      </c>
      <c r="B48" s="90" t="s">
        <v>107</v>
      </c>
      <c r="C48" s="22" t="s">
        <v>4</v>
      </c>
      <c r="D48" s="22">
        <v>56.4</v>
      </c>
      <c r="E48" s="7">
        <v>37818</v>
      </c>
      <c r="F48" s="108">
        <f>D48*E48</f>
        <v>2132935.1999999997</v>
      </c>
    </row>
    <row r="49" spans="1:10" x14ac:dyDescent="0.25">
      <c r="A49" s="22" t="s">
        <v>198</v>
      </c>
      <c r="B49" s="90" t="s">
        <v>112</v>
      </c>
      <c r="C49" s="22" t="s">
        <v>2</v>
      </c>
      <c r="D49" s="22">
        <v>4.5</v>
      </c>
      <c r="E49" s="7">
        <v>35208</v>
      </c>
      <c r="F49" s="108">
        <f>D49*E49</f>
        <v>158436</v>
      </c>
    </row>
    <row r="50" spans="1:10" ht="42.75" x14ac:dyDescent="0.25">
      <c r="A50" s="22" t="s">
        <v>199</v>
      </c>
      <c r="B50" s="90" t="s">
        <v>9</v>
      </c>
      <c r="C50" s="22" t="s">
        <v>2</v>
      </c>
      <c r="D50" s="22">
        <v>12.5</v>
      </c>
      <c r="E50" s="7">
        <v>56693</v>
      </c>
      <c r="F50" s="108">
        <f>D50*E50</f>
        <v>708662.5</v>
      </c>
      <c r="J50">
        <v>0</v>
      </c>
    </row>
    <row r="51" spans="1:10" x14ac:dyDescent="0.25">
      <c r="A51" s="22" t="s">
        <v>200</v>
      </c>
      <c r="B51" s="90" t="s">
        <v>108</v>
      </c>
      <c r="C51" s="22" t="s">
        <v>4</v>
      </c>
      <c r="D51" s="22">
        <v>20.86</v>
      </c>
      <c r="E51" s="7">
        <v>35683</v>
      </c>
      <c r="F51" s="108">
        <f>D51*E51</f>
        <v>744347.38</v>
      </c>
    </row>
    <row r="52" spans="1:10" s="14" customFormat="1" x14ac:dyDescent="0.25">
      <c r="A52" s="29"/>
      <c r="B52" s="20" t="s">
        <v>18</v>
      </c>
      <c r="C52" s="29"/>
      <c r="D52" s="29"/>
      <c r="E52" s="20"/>
      <c r="F52" s="106">
        <f>SUM(F48:F51)</f>
        <v>3744381.0799999996</v>
      </c>
    </row>
    <row r="53" spans="1:10" s="14" customFormat="1" x14ac:dyDescent="0.25">
      <c r="A53" s="29">
        <v>8</v>
      </c>
      <c r="B53" s="20" t="s">
        <v>13</v>
      </c>
      <c r="C53" s="29"/>
      <c r="D53" s="29"/>
      <c r="E53" s="20"/>
      <c r="F53" s="106"/>
    </row>
    <row r="54" spans="1:10" x14ac:dyDescent="0.25">
      <c r="A54" s="22" t="s">
        <v>201</v>
      </c>
      <c r="B54" s="90" t="s">
        <v>5</v>
      </c>
      <c r="C54" s="22" t="s">
        <v>4</v>
      </c>
      <c r="D54" s="22">
        <v>8</v>
      </c>
      <c r="E54" s="7">
        <v>220520</v>
      </c>
      <c r="F54" s="108">
        <f>D54*E54</f>
        <v>1764160</v>
      </c>
    </row>
    <row r="55" spans="1:10" x14ac:dyDescent="0.25">
      <c r="A55" s="22" t="s">
        <v>283</v>
      </c>
      <c r="B55" s="90" t="s">
        <v>45</v>
      </c>
      <c r="C55" s="22" t="s">
        <v>21</v>
      </c>
      <c r="D55" s="22">
        <v>4</v>
      </c>
      <c r="E55" s="7">
        <v>250000</v>
      </c>
      <c r="F55" s="108">
        <f>D55*E55</f>
        <v>1000000</v>
      </c>
    </row>
    <row r="56" spans="1:10" ht="27" customHeight="1" x14ac:dyDescent="0.25">
      <c r="A56" s="22" t="s">
        <v>284</v>
      </c>
      <c r="B56" s="90" t="s">
        <v>53</v>
      </c>
      <c r="C56" s="22" t="s">
        <v>3</v>
      </c>
      <c r="D56" s="22">
        <v>7.5</v>
      </c>
      <c r="E56" s="7">
        <v>185876</v>
      </c>
      <c r="F56" s="110">
        <f>SUM(F54:F55)</f>
        <v>2764160</v>
      </c>
    </row>
    <row r="57" spans="1:10" s="14" customFormat="1" ht="15.75" customHeight="1" x14ac:dyDescent="0.25">
      <c r="A57" s="29"/>
      <c r="B57" s="20" t="s">
        <v>18</v>
      </c>
      <c r="C57" s="29"/>
      <c r="D57" s="29"/>
      <c r="E57" s="20"/>
      <c r="F57" s="106">
        <f>SUM(F56:F56)</f>
        <v>2764160</v>
      </c>
    </row>
    <row r="58" spans="1:10" s="14" customFormat="1" ht="15.75" customHeight="1" x14ac:dyDescent="0.25">
      <c r="A58" s="29">
        <v>9</v>
      </c>
      <c r="B58" s="53" t="s">
        <v>69</v>
      </c>
      <c r="C58" s="29"/>
      <c r="D58" s="29"/>
      <c r="E58" s="20"/>
      <c r="F58" s="106"/>
    </row>
    <row r="59" spans="1:10" ht="99.75" x14ac:dyDescent="0.25">
      <c r="A59" s="22" t="s">
        <v>202</v>
      </c>
      <c r="B59" s="90" t="s">
        <v>87</v>
      </c>
      <c r="C59" s="38" t="s">
        <v>2</v>
      </c>
      <c r="D59" s="36">
        <v>8.3000000000000007</v>
      </c>
      <c r="E59" s="37">
        <v>55000</v>
      </c>
      <c r="F59" s="111">
        <f t="shared" ref="F59:F66" si="2">+D59*E59</f>
        <v>456500.00000000006</v>
      </c>
    </row>
    <row r="60" spans="1:10" ht="71.25" x14ac:dyDescent="0.25">
      <c r="A60" s="22" t="s">
        <v>203</v>
      </c>
      <c r="B60" s="90" t="s">
        <v>88</v>
      </c>
      <c r="C60" s="38" t="s">
        <v>46</v>
      </c>
      <c r="D60" s="36">
        <v>14</v>
      </c>
      <c r="E60" s="37">
        <v>14280</v>
      </c>
      <c r="F60" s="111">
        <f t="shared" si="2"/>
        <v>199920</v>
      </c>
    </row>
    <row r="61" spans="1:10" ht="57" x14ac:dyDescent="0.25">
      <c r="A61" s="22" t="s">
        <v>204</v>
      </c>
      <c r="B61" s="90" t="s">
        <v>68</v>
      </c>
      <c r="C61" s="38" t="s">
        <v>46</v>
      </c>
      <c r="D61" s="36">
        <v>20</v>
      </c>
      <c r="E61" s="37">
        <v>8500</v>
      </c>
      <c r="F61" s="111">
        <f t="shared" si="2"/>
        <v>170000</v>
      </c>
    </row>
    <row r="62" spans="1:10" ht="71.25" x14ac:dyDescent="0.25">
      <c r="A62" s="22" t="s">
        <v>205</v>
      </c>
      <c r="B62" s="90" t="s">
        <v>66</v>
      </c>
      <c r="C62" s="38" t="s">
        <v>64</v>
      </c>
      <c r="D62" s="36">
        <v>1</v>
      </c>
      <c r="E62" s="37">
        <v>45500</v>
      </c>
      <c r="F62" s="111">
        <f t="shared" si="2"/>
        <v>45500</v>
      </c>
    </row>
    <row r="63" spans="1:10" ht="57" x14ac:dyDescent="0.25">
      <c r="A63" s="22" t="s">
        <v>206</v>
      </c>
      <c r="B63" s="90" t="s">
        <v>67</v>
      </c>
      <c r="C63" s="38" t="s">
        <v>64</v>
      </c>
      <c r="D63" s="36">
        <v>1</v>
      </c>
      <c r="E63" s="37">
        <v>59728</v>
      </c>
      <c r="F63" s="111">
        <f t="shared" si="2"/>
        <v>59728</v>
      </c>
    </row>
    <row r="64" spans="1:10" ht="71.25" x14ac:dyDescent="0.25">
      <c r="A64" s="22" t="s">
        <v>207</v>
      </c>
      <c r="B64" s="90" t="s">
        <v>89</v>
      </c>
      <c r="C64" s="38" t="s">
        <v>46</v>
      </c>
      <c r="D64" s="38">
        <v>15</v>
      </c>
      <c r="E64" s="37">
        <v>57500</v>
      </c>
      <c r="F64" s="111">
        <f t="shared" si="2"/>
        <v>862500</v>
      </c>
    </row>
    <row r="65" spans="1:6" ht="58.5" customHeight="1" x14ac:dyDescent="0.25">
      <c r="A65" s="22" t="s">
        <v>208</v>
      </c>
      <c r="B65" s="90" t="s">
        <v>90</v>
      </c>
      <c r="C65" s="38" t="s">
        <v>46</v>
      </c>
      <c r="D65" s="38">
        <v>2</v>
      </c>
      <c r="E65" s="37">
        <v>225000</v>
      </c>
      <c r="F65" s="111">
        <f t="shared" si="2"/>
        <v>450000</v>
      </c>
    </row>
    <row r="66" spans="1:6" ht="15.75" customHeight="1" x14ac:dyDescent="0.25">
      <c r="A66" s="22" t="s">
        <v>209</v>
      </c>
      <c r="B66" s="90" t="s">
        <v>91</v>
      </c>
      <c r="C66" s="38" t="s">
        <v>92</v>
      </c>
      <c r="D66" s="38">
        <v>1</v>
      </c>
      <c r="E66" s="37">
        <v>100000</v>
      </c>
      <c r="F66" s="111">
        <f t="shared" si="2"/>
        <v>100000</v>
      </c>
    </row>
    <row r="67" spans="1:6" s="14" customFormat="1" ht="15.75" customHeight="1" x14ac:dyDescent="0.25">
      <c r="A67" s="29"/>
      <c r="B67" s="90" t="s">
        <v>18</v>
      </c>
      <c r="C67" s="29"/>
      <c r="D67" s="29"/>
      <c r="E67" s="20"/>
      <c r="F67" s="106">
        <f>SUM(F59:F66)</f>
        <v>2344148</v>
      </c>
    </row>
    <row r="68" spans="1:6" s="14" customFormat="1" ht="15.75" customHeight="1" x14ac:dyDescent="0.25">
      <c r="A68" s="29">
        <v>10</v>
      </c>
      <c r="B68" s="90" t="s">
        <v>96</v>
      </c>
      <c r="C68" s="29"/>
      <c r="D68" s="29"/>
      <c r="E68" s="20"/>
      <c r="F68" s="106"/>
    </row>
    <row r="69" spans="1:6" ht="131.25" customHeight="1" x14ac:dyDescent="0.25">
      <c r="A69" s="22" t="s">
        <v>210</v>
      </c>
      <c r="B69" s="90" t="s">
        <v>316</v>
      </c>
      <c r="C69" s="30" t="s">
        <v>58</v>
      </c>
      <c r="D69" s="31">
        <v>7</v>
      </c>
      <c r="E69" s="32">
        <v>100790</v>
      </c>
      <c r="F69" s="112">
        <f t="shared" ref="F69:F75" si="3">+D69*E69</f>
        <v>705530</v>
      </c>
    </row>
    <row r="70" spans="1:6" ht="171.75" x14ac:dyDescent="0.25">
      <c r="A70" s="22" t="s">
        <v>211</v>
      </c>
      <c r="B70" s="90" t="s">
        <v>317</v>
      </c>
      <c r="C70" s="30" t="s">
        <v>58</v>
      </c>
      <c r="D70" s="31">
        <v>8</v>
      </c>
      <c r="E70" s="32">
        <v>85219</v>
      </c>
      <c r="F70" s="112">
        <f t="shared" si="3"/>
        <v>681752</v>
      </c>
    </row>
    <row r="71" spans="1:6" ht="115.5" x14ac:dyDescent="0.25">
      <c r="A71" s="22" t="s">
        <v>212</v>
      </c>
      <c r="B71" s="90" t="s">
        <v>318</v>
      </c>
      <c r="C71" s="30" t="s">
        <v>58</v>
      </c>
      <c r="D71" s="31">
        <v>2</v>
      </c>
      <c r="E71" s="32">
        <v>98394</v>
      </c>
      <c r="F71" s="112">
        <f t="shared" si="3"/>
        <v>196788</v>
      </c>
    </row>
    <row r="72" spans="1:6" ht="58.5" x14ac:dyDescent="0.25">
      <c r="A72" s="22" t="s">
        <v>213</v>
      </c>
      <c r="B72" s="90" t="s">
        <v>319</v>
      </c>
      <c r="C72" s="30" t="s">
        <v>58</v>
      </c>
      <c r="D72" s="31">
        <v>4</v>
      </c>
      <c r="E72" s="32">
        <v>220210</v>
      </c>
      <c r="F72" s="112">
        <f t="shared" si="3"/>
        <v>880840</v>
      </c>
    </row>
    <row r="73" spans="1:6" ht="156.75" x14ac:dyDescent="0.25">
      <c r="A73" s="22" t="s">
        <v>214</v>
      </c>
      <c r="B73" s="90" t="s">
        <v>113</v>
      </c>
      <c r="C73" s="30" t="s">
        <v>58</v>
      </c>
      <c r="D73" s="31">
        <v>4</v>
      </c>
      <c r="E73" s="32">
        <v>109896</v>
      </c>
      <c r="F73" s="112">
        <f t="shared" si="3"/>
        <v>439584</v>
      </c>
    </row>
    <row r="74" spans="1:6" ht="42.75" x14ac:dyDescent="0.25">
      <c r="A74" s="22" t="s">
        <v>215</v>
      </c>
      <c r="B74" s="90" t="s">
        <v>114</v>
      </c>
      <c r="C74" s="30" t="s">
        <v>58</v>
      </c>
      <c r="D74" s="31">
        <v>4</v>
      </c>
      <c r="E74" s="32">
        <v>291200</v>
      </c>
      <c r="F74" s="112">
        <f t="shared" si="3"/>
        <v>1164800</v>
      </c>
    </row>
    <row r="75" spans="1:6" ht="58.5" x14ac:dyDescent="0.25">
      <c r="A75" s="22" t="s">
        <v>216</v>
      </c>
      <c r="B75" s="90" t="s">
        <v>320</v>
      </c>
      <c r="C75" s="30" t="s">
        <v>58</v>
      </c>
      <c r="D75" s="31">
        <v>3</v>
      </c>
      <c r="E75" s="32">
        <v>123710</v>
      </c>
      <c r="F75" s="112">
        <f t="shared" si="3"/>
        <v>371130</v>
      </c>
    </row>
    <row r="76" spans="1:6" s="14" customFormat="1" x14ac:dyDescent="0.25">
      <c r="A76" s="22"/>
      <c r="B76" s="33" t="s">
        <v>18</v>
      </c>
      <c r="C76" s="29"/>
      <c r="D76" s="29"/>
      <c r="E76" s="20"/>
      <c r="F76" s="106">
        <f>SUM(F69:F75)</f>
        <v>4440424</v>
      </c>
    </row>
    <row r="77" spans="1:6" s="14" customFormat="1" ht="15.75" customHeight="1" x14ac:dyDescent="0.25">
      <c r="A77" s="22">
        <v>11</v>
      </c>
      <c r="B77" s="103" t="s">
        <v>79</v>
      </c>
      <c r="C77" s="29"/>
      <c r="D77" s="29"/>
      <c r="E77" s="20"/>
      <c r="F77" s="106"/>
    </row>
    <row r="78" spans="1:6" ht="157.5" x14ac:dyDescent="0.25">
      <c r="A78" s="22" t="s">
        <v>223</v>
      </c>
      <c r="B78" s="90" t="s">
        <v>316</v>
      </c>
      <c r="C78" s="30" t="s">
        <v>58</v>
      </c>
      <c r="D78" s="31">
        <v>7</v>
      </c>
      <c r="E78" s="32">
        <v>100790</v>
      </c>
      <c r="F78" s="112">
        <f t="shared" ref="F78:F87" si="4">+D78*E78</f>
        <v>705530</v>
      </c>
    </row>
    <row r="79" spans="1:6" ht="156" customHeight="1" x14ac:dyDescent="0.25">
      <c r="A79" s="22" t="s">
        <v>224</v>
      </c>
      <c r="B79" s="90" t="s">
        <v>321</v>
      </c>
      <c r="C79" s="30" t="s">
        <v>58</v>
      </c>
      <c r="D79" s="31">
        <v>3</v>
      </c>
      <c r="E79" s="32">
        <v>92524</v>
      </c>
      <c r="F79" s="112">
        <f t="shared" si="4"/>
        <v>277572</v>
      </c>
    </row>
    <row r="80" spans="1:6" ht="171.75" x14ac:dyDescent="0.25">
      <c r="A80" s="22" t="s">
        <v>225</v>
      </c>
      <c r="B80" s="90" t="s">
        <v>317</v>
      </c>
      <c r="C80" s="30" t="s">
        <v>58</v>
      </c>
      <c r="D80" s="31">
        <v>9</v>
      </c>
      <c r="E80" s="32">
        <v>85219</v>
      </c>
      <c r="F80" s="112">
        <f t="shared" si="4"/>
        <v>766971</v>
      </c>
    </row>
    <row r="81" spans="1:14" ht="157.5" x14ac:dyDescent="0.25">
      <c r="A81" s="22" t="s">
        <v>226</v>
      </c>
      <c r="B81" s="90" t="s">
        <v>322</v>
      </c>
      <c r="C81" s="30" t="s">
        <v>58</v>
      </c>
      <c r="D81" s="31">
        <v>1</v>
      </c>
      <c r="E81" s="32">
        <v>98668</v>
      </c>
      <c r="F81" s="112">
        <f t="shared" si="4"/>
        <v>98668</v>
      </c>
    </row>
    <row r="82" spans="1:14" ht="165" customHeight="1" x14ac:dyDescent="0.25">
      <c r="A82" s="22" t="s">
        <v>289</v>
      </c>
      <c r="B82" s="90" t="s">
        <v>243</v>
      </c>
      <c r="C82" s="30" t="s">
        <v>58</v>
      </c>
      <c r="D82" s="31">
        <v>7</v>
      </c>
      <c r="E82" s="32">
        <v>90827</v>
      </c>
      <c r="F82" s="112">
        <f t="shared" si="4"/>
        <v>635789</v>
      </c>
    </row>
    <row r="83" spans="1:14" ht="115.5" x14ac:dyDescent="0.25">
      <c r="A83" s="22" t="s">
        <v>290</v>
      </c>
      <c r="B83" s="90" t="s">
        <v>318</v>
      </c>
      <c r="C83" s="30" t="s">
        <v>58</v>
      </c>
      <c r="D83" s="31">
        <v>2</v>
      </c>
      <c r="E83" s="32">
        <v>98394</v>
      </c>
      <c r="F83" s="112">
        <f t="shared" si="4"/>
        <v>196788</v>
      </c>
    </row>
    <row r="84" spans="1:14" ht="115.5" x14ac:dyDescent="0.25">
      <c r="A84" s="22" t="s">
        <v>291</v>
      </c>
      <c r="B84" s="90" t="s">
        <v>323</v>
      </c>
      <c r="C84" s="30" t="s">
        <v>58</v>
      </c>
      <c r="D84" s="31">
        <v>2</v>
      </c>
      <c r="E84" s="32">
        <v>109827</v>
      </c>
      <c r="F84" s="112">
        <f t="shared" si="4"/>
        <v>219654</v>
      </c>
    </row>
    <row r="85" spans="1:14" ht="129" x14ac:dyDescent="0.25">
      <c r="A85" s="22" t="s">
        <v>292</v>
      </c>
      <c r="B85" s="90" t="s">
        <v>258</v>
      </c>
      <c r="C85" s="30" t="s">
        <v>58</v>
      </c>
      <c r="D85" s="31">
        <v>7</v>
      </c>
      <c r="E85" s="32">
        <v>212588</v>
      </c>
      <c r="F85" s="112">
        <f t="shared" si="4"/>
        <v>1488116</v>
      </c>
    </row>
    <row r="86" spans="1:14" ht="58.5" x14ac:dyDescent="0.25">
      <c r="A86" s="22" t="s">
        <v>293</v>
      </c>
      <c r="B86" s="90" t="s">
        <v>254</v>
      </c>
      <c r="C86" s="30" t="s">
        <v>58</v>
      </c>
      <c r="D86" s="31">
        <v>2</v>
      </c>
      <c r="E86" s="32">
        <v>90010</v>
      </c>
      <c r="F86" s="112">
        <f t="shared" si="4"/>
        <v>180020</v>
      </c>
    </row>
    <row r="87" spans="1:14" ht="43.5" x14ac:dyDescent="0.25">
      <c r="A87" s="22" t="s">
        <v>294</v>
      </c>
      <c r="B87" s="90" t="s">
        <v>255</v>
      </c>
      <c r="C87" s="30" t="s">
        <v>58</v>
      </c>
      <c r="D87" s="31">
        <v>1</v>
      </c>
      <c r="E87" s="32">
        <v>113010</v>
      </c>
      <c r="F87" s="112">
        <f t="shared" si="4"/>
        <v>113010</v>
      </c>
    </row>
    <row r="88" spans="1:14" ht="86.25" x14ac:dyDescent="0.25">
      <c r="A88" s="22" t="s">
        <v>295</v>
      </c>
      <c r="B88" s="90" t="s">
        <v>324</v>
      </c>
      <c r="C88" s="7"/>
      <c r="D88" s="7"/>
      <c r="E88" s="82"/>
      <c r="F88" s="110"/>
    </row>
    <row r="89" spans="1:14" s="14" customFormat="1" ht="15.75" customHeight="1" x14ac:dyDescent="0.25">
      <c r="A89" s="29"/>
      <c r="B89" s="103" t="s">
        <v>18</v>
      </c>
      <c r="C89" s="20"/>
      <c r="D89" s="20"/>
      <c r="E89" s="20"/>
      <c r="F89" s="106">
        <f>SUM(F78:F88)</f>
        <v>4682118</v>
      </c>
    </row>
    <row r="90" spans="1:14" s="14" customFormat="1" ht="15.75" customHeight="1" x14ac:dyDescent="0.25">
      <c r="A90" s="29">
        <v>12</v>
      </c>
      <c r="B90" s="103" t="s">
        <v>83</v>
      </c>
      <c r="C90" s="20"/>
      <c r="D90" s="20"/>
      <c r="E90" s="20"/>
      <c r="F90" s="106"/>
    </row>
    <row r="91" spans="1:14" ht="28.5" x14ac:dyDescent="0.25">
      <c r="A91" s="22" t="s">
        <v>227</v>
      </c>
      <c r="B91" s="90" t="s">
        <v>84</v>
      </c>
      <c r="C91" s="7" t="s">
        <v>58</v>
      </c>
      <c r="D91" s="45">
        <v>1</v>
      </c>
      <c r="E91" s="46">
        <v>5849600</v>
      </c>
      <c r="F91" s="113">
        <f>D91*E91</f>
        <v>5849600</v>
      </c>
    </row>
    <row r="92" spans="1:14" s="14" customFormat="1" x14ac:dyDescent="0.25">
      <c r="A92" s="29"/>
      <c r="B92" s="56" t="s">
        <v>18</v>
      </c>
      <c r="C92" s="20"/>
      <c r="D92" s="85"/>
      <c r="E92" s="84"/>
      <c r="F92" s="113">
        <f>+F91</f>
        <v>5849600</v>
      </c>
    </row>
    <row r="93" spans="1:14" s="14" customFormat="1" ht="15.75" customHeight="1" x14ac:dyDescent="0.25">
      <c r="A93" s="29">
        <v>13</v>
      </c>
      <c r="B93" s="39" t="s">
        <v>78</v>
      </c>
      <c r="C93" s="40"/>
      <c r="D93" s="41"/>
      <c r="E93" s="42"/>
      <c r="F93" s="114"/>
    </row>
    <row r="94" spans="1:14" ht="57" x14ac:dyDescent="0.25">
      <c r="A94" s="22" t="s">
        <v>231</v>
      </c>
      <c r="B94" s="90" t="s">
        <v>71</v>
      </c>
      <c r="C94" s="30" t="s">
        <v>58</v>
      </c>
      <c r="D94" s="43">
        <v>8</v>
      </c>
      <c r="E94" s="44">
        <v>230000</v>
      </c>
      <c r="F94" s="115">
        <f>D94*E94</f>
        <v>1840000</v>
      </c>
      <c r="J94" s="9">
        <v>12</v>
      </c>
      <c r="N94" s="9"/>
    </row>
    <row r="95" spans="1:14" ht="42.75" x14ac:dyDescent="0.25">
      <c r="A95" s="22" t="s">
        <v>232</v>
      </c>
      <c r="B95" s="90" t="s">
        <v>80</v>
      </c>
      <c r="C95" s="30" t="s">
        <v>58</v>
      </c>
      <c r="D95" s="43">
        <v>1</v>
      </c>
      <c r="E95" s="44">
        <v>948000</v>
      </c>
      <c r="F95" s="115">
        <f>D95*E95</f>
        <v>948000</v>
      </c>
      <c r="J95" s="9"/>
      <c r="N95" s="9"/>
    </row>
    <row r="96" spans="1:14" ht="28.5" x14ac:dyDescent="0.25">
      <c r="A96" s="22" t="s">
        <v>305</v>
      </c>
      <c r="B96" s="90" t="s">
        <v>72</v>
      </c>
      <c r="C96" s="30" t="s">
        <v>58</v>
      </c>
      <c r="D96" s="43">
        <v>1</v>
      </c>
      <c r="E96" s="44">
        <v>270000</v>
      </c>
      <c r="F96" s="115">
        <f>E96*D96</f>
        <v>270000</v>
      </c>
      <c r="J96" s="9">
        <v>1</v>
      </c>
      <c r="N96" s="9"/>
    </row>
    <row r="97" spans="1:16" ht="15.75" customHeight="1" x14ac:dyDescent="0.25">
      <c r="A97" s="22" t="s">
        <v>306</v>
      </c>
      <c r="B97" s="90" t="s">
        <v>73</v>
      </c>
      <c r="C97" s="30" t="s">
        <v>58</v>
      </c>
      <c r="D97" s="43">
        <v>1</v>
      </c>
      <c r="E97" s="44">
        <v>76000</v>
      </c>
      <c r="F97" s="115">
        <f>D97*E97</f>
        <v>76000</v>
      </c>
      <c r="J97" s="9">
        <v>1</v>
      </c>
      <c r="N97" s="9"/>
    </row>
    <row r="98" spans="1:16" ht="15.75" customHeight="1" x14ac:dyDescent="0.25">
      <c r="A98" s="22" t="s">
        <v>307</v>
      </c>
      <c r="B98" s="90" t="s">
        <v>74</v>
      </c>
      <c r="C98" s="30" t="s">
        <v>58</v>
      </c>
      <c r="D98" s="43">
        <v>8</v>
      </c>
      <c r="E98" s="44">
        <v>37000</v>
      </c>
      <c r="F98" s="115">
        <f>D98*E98</f>
        <v>296000</v>
      </c>
      <c r="J98" s="9">
        <v>12</v>
      </c>
      <c r="N98" s="9"/>
    </row>
    <row r="99" spans="1:16" ht="15.75" customHeight="1" x14ac:dyDescent="0.25">
      <c r="A99" s="22" t="s">
        <v>308</v>
      </c>
      <c r="B99" s="90" t="s">
        <v>75</v>
      </c>
      <c r="C99" s="30" t="s">
        <v>58</v>
      </c>
      <c r="D99" s="43">
        <v>8</v>
      </c>
      <c r="E99" s="44">
        <v>44000</v>
      </c>
      <c r="F99" s="115">
        <f>D99*E99</f>
        <v>352000</v>
      </c>
      <c r="J99" s="9">
        <v>12</v>
      </c>
      <c r="N99" s="9"/>
    </row>
    <row r="100" spans="1:16" ht="55.5" customHeight="1" x14ac:dyDescent="0.25">
      <c r="A100" s="22" t="s">
        <v>309</v>
      </c>
      <c r="B100" s="90" t="s">
        <v>81</v>
      </c>
      <c r="C100" s="30" t="s">
        <v>58</v>
      </c>
      <c r="D100" s="43">
        <v>4</v>
      </c>
      <c r="E100" s="44">
        <v>420000</v>
      </c>
      <c r="F100" s="115">
        <f>D100*E100</f>
        <v>1680000</v>
      </c>
      <c r="J100" s="9">
        <v>4</v>
      </c>
      <c r="N100" s="9"/>
    </row>
    <row r="101" spans="1:16" s="14" customFormat="1" x14ac:dyDescent="0.25">
      <c r="A101" s="20"/>
      <c r="B101" s="20" t="s">
        <v>18</v>
      </c>
      <c r="C101" s="20"/>
      <c r="D101" s="20"/>
      <c r="E101" s="20"/>
      <c r="F101" s="106">
        <f>SUM(F94:F100)</f>
        <v>5462000</v>
      </c>
    </row>
    <row r="102" spans="1:16" s="14" customFormat="1" x14ac:dyDescent="0.25">
      <c r="A102" s="20"/>
      <c r="B102" s="20" t="s">
        <v>234</v>
      </c>
      <c r="C102" s="20"/>
      <c r="D102" s="20"/>
      <c r="E102" s="20"/>
      <c r="F102" s="106">
        <f>+F101+F92+F89+F76+F67+F57+F52+F46+F41+F35+F32+F28+F17</f>
        <v>121965185.70999999</v>
      </c>
      <c r="G102" s="14">
        <f>F102*5%</f>
        <v>6098259.2855000002</v>
      </c>
      <c r="P102" s="83"/>
    </row>
    <row r="103" spans="1:16" s="14" customFormat="1" x14ac:dyDescent="0.25">
      <c r="A103" s="20"/>
      <c r="B103" s="20" t="s">
        <v>20</v>
      </c>
      <c r="C103" s="20"/>
      <c r="D103" s="20"/>
      <c r="E103" s="20"/>
      <c r="F103" s="106">
        <f>F102*25%</f>
        <v>30491296.427499998</v>
      </c>
    </row>
    <row r="104" spans="1:16" s="14" customFormat="1" x14ac:dyDescent="0.25">
      <c r="A104" s="20"/>
      <c r="B104" s="20" t="s">
        <v>235</v>
      </c>
      <c r="C104" s="20"/>
      <c r="D104" s="20"/>
      <c r="E104" s="20"/>
      <c r="F104" s="106">
        <f>+F103+F102</f>
        <v>152456482.13749999</v>
      </c>
    </row>
    <row r="105" spans="1:16" s="14" customFormat="1" x14ac:dyDescent="0.25">
      <c r="A105" s="20"/>
      <c r="B105" s="20" t="s">
        <v>236</v>
      </c>
      <c r="C105" s="20"/>
      <c r="D105" s="20"/>
      <c r="E105" s="20"/>
      <c r="F105" s="106">
        <f>+(F102*0.05)*0.16</f>
        <v>975721.48568000004</v>
      </c>
    </row>
    <row r="106" spans="1:16" s="14" customFormat="1" x14ac:dyDescent="0.25">
      <c r="A106" s="20"/>
      <c r="B106" s="20" t="s">
        <v>314</v>
      </c>
      <c r="C106" s="20"/>
      <c r="D106" s="20"/>
      <c r="E106" s="20"/>
      <c r="F106" s="106">
        <f>+F105+F104</f>
        <v>153432203.62318</v>
      </c>
    </row>
    <row r="109" spans="1:16" x14ac:dyDescent="0.25">
      <c r="B109" s="1" t="s">
        <v>138</v>
      </c>
      <c r="D109" s="1" t="s">
        <v>139</v>
      </c>
    </row>
    <row r="110" spans="1:16" x14ac:dyDescent="0.25">
      <c r="B110" s="1" t="s">
        <v>140</v>
      </c>
      <c r="D110" s="1" t="s">
        <v>141</v>
      </c>
    </row>
    <row r="111" spans="1:16" x14ac:dyDescent="0.25">
      <c r="B111" s="1" t="s">
        <v>145</v>
      </c>
      <c r="D111" s="1" t="s">
        <v>145</v>
      </c>
    </row>
    <row r="115" spans="2:4" x14ac:dyDescent="0.25">
      <c r="B115" s="1" t="s">
        <v>93</v>
      </c>
      <c r="D115" s="1" t="s">
        <v>142</v>
      </c>
    </row>
    <row r="116" spans="2:4" x14ac:dyDescent="0.25">
      <c r="B116" s="1" t="s">
        <v>94</v>
      </c>
      <c r="D116" s="1" t="s">
        <v>143</v>
      </c>
    </row>
    <row r="117" spans="2:4" x14ac:dyDescent="0.25">
      <c r="B117" s="1" t="s">
        <v>95</v>
      </c>
      <c r="D117" s="1" t="s">
        <v>144</v>
      </c>
    </row>
  </sheetData>
  <mergeCells count="2">
    <mergeCell ref="B9:F9"/>
    <mergeCell ref="A6:F6"/>
  </mergeCells>
  <phoneticPr fontId="3" type="noConversion"/>
  <pageMargins left="0.70866141732283472" right="0.70866141732283472" top="0.74803149606299213" bottom="0.74803149606299213" header="0.31496062992125984" footer="0.31496062992125984"/>
  <pageSetup scale="60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0"/>
  <sheetViews>
    <sheetView tabSelected="1" zoomScaleNormal="100" workbookViewId="0"/>
  </sheetViews>
  <sheetFormatPr baseColWidth="10" defaultRowHeight="15" x14ac:dyDescent="0.25"/>
  <cols>
    <col min="1" max="1" width="6.85546875" customWidth="1"/>
    <col min="2" max="2" width="41.5703125" style="1" customWidth="1"/>
    <col min="3" max="4" width="11.42578125" style="1"/>
    <col min="5" max="5" width="16.5703125" style="1" customWidth="1"/>
    <col min="6" max="6" width="20.42578125" style="1" customWidth="1"/>
    <col min="7" max="13" width="0.140625" style="1" hidden="1" customWidth="1"/>
    <col min="14" max="14" width="8.5703125" style="1" hidden="1" customWidth="1"/>
    <col min="15" max="15" width="11.42578125" style="1" customWidth="1"/>
    <col min="16" max="16" width="6.5703125" style="1" customWidth="1"/>
    <col min="18" max="18" width="20.85546875" customWidth="1"/>
    <col min="22" max="22" width="16" customWidth="1"/>
  </cols>
  <sheetData>
    <row r="2" spans="1:14" x14ac:dyDescent="0.25">
      <c r="B2" s="79" t="s">
        <v>153</v>
      </c>
    </row>
    <row r="3" spans="1:14" x14ac:dyDescent="0.25">
      <c r="B3" s="79" t="s">
        <v>154</v>
      </c>
    </row>
    <row r="4" spans="1:14" x14ac:dyDescent="0.25">
      <c r="B4" s="79" t="s">
        <v>155</v>
      </c>
    </row>
    <row r="6" spans="1:14" ht="54" customHeight="1" x14ac:dyDescent="0.25">
      <c r="A6" s="118" t="s">
        <v>313</v>
      </c>
      <c r="B6" s="118"/>
      <c r="C6" s="118"/>
      <c r="D6" s="118"/>
      <c r="E6" s="118"/>
      <c r="F6" s="118"/>
    </row>
    <row r="8" spans="1:14" x14ac:dyDescent="0.25">
      <c r="A8" s="11" t="s">
        <v>156</v>
      </c>
      <c r="B8" s="12" t="s">
        <v>157</v>
      </c>
      <c r="C8" s="12" t="s">
        <v>21</v>
      </c>
      <c r="D8" s="12" t="s">
        <v>158</v>
      </c>
      <c r="E8" s="12" t="s">
        <v>159</v>
      </c>
      <c r="F8" s="12" t="s">
        <v>160</v>
      </c>
    </row>
    <row r="9" spans="1:14" x14ac:dyDescent="0.25">
      <c r="A9" s="4"/>
      <c r="B9" s="116" t="s">
        <v>34</v>
      </c>
      <c r="C9" s="116"/>
      <c r="D9" s="116"/>
      <c r="E9" s="116"/>
      <c r="F9" s="116"/>
    </row>
    <row r="10" spans="1:14" x14ac:dyDescent="0.25">
      <c r="A10" s="4"/>
      <c r="B10" s="18" t="s">
        <v>262</v>
      </c>
      <c r="C10" s="18"/>
      <c r="D10" s="18"/>
      <c r="E10" s="18"/>
      <c r="F10" s="18"/>
    </row>
    <row r="11" spans="1:14" x14ac:dyDescent="0.25">
      <c r="A11" s="19">
        <v>1</v>
      </c>
      <c r="B11" s="20" t="s">
        <v>15</v>
      </c>
      <c r="C11" s="7"/>
      <c r="D11" s="7"/>
      <c r="E11" s="7"/>
      <c r="F11" s="7"/>
    </row>
    <row r="12" spans="1:14" x14ac:dyDescent="0.25">
      <c r="A12" s="19" t="s">
        <v>161</v>
      </c>
      <c r="B12" s="57" t="s">
        <v>16</v>
      </c>
      <c r="C12" s="22" t="s">
        <v>3</v>
      </c>
      <c r="D12" s="23">
        <v>32.1</v>
      </c>
      <c r="E12" s="7">
        <f>[3]adec.biologia!$D$5</f>
        <v>7896</v>
      </c>
      <c r="F12" s="65">
        <f>+E12*D12</f>
        <v>253461.6</v>
      </c>
      <c r="G12" s="1">
        <f>2.1+2.1+2.55+2.15+1.8</f>
        <v>10.700000000000001</v>
      </c>
      <c r="H12" s="1">
        <f>G12*3</f>
        <v>32.1</v>
      </c>
    </row>
    <row r="13" spans="1:14" x14ac:dyDescent="0.25">
      <c r="A13" s="19" t="s">
        <v>162</v>
      </c>
      <c r="B13" s="57" t="s">
        <v>17</v>
      </c>
      <c r="C13" s="24" t="s">
        <v>3</v>
      </c>
      <c r="D13" s="25">
        <v>65.05</v>
      </c>
      <c r="E13" s="2">
        <f>[3]adec.biologia!$D$6</f>
        <v>15504</v>
      </c>
      <c r="F13" s="65">
        <f t="shared" ref="F13:F20" si="0">+E13*D13</f>
        <v>1008535.2</v>
      </c>
      <c r="G13" s="1">
        <f>4*1.4</f>
        <v>5.6</v>
      </c>
      <c r="H13" s="1">
        <f>G13*8</f>
        <v>44.8</v>
      </c>
      <c r="I13" s="1">
        <f>6.2*0.8</f>
        <v>4.9600000000000009</v>
      </c>
      <c r="J13" s="1">
        <f>I13*2</f>
        <v>9.9200000000000017</v>
      </c>
      <c r="K13" s="1">
        <f>4.43*1</f>
        <v>4.43</v>
      </c>
      <c r="L13" s="1">
        <f>H13+J13+K13</f>
        <v>59.15</v>
      </c>
      <c r="M13" s="1">
        <f>L13*10%</f>
        <v>5.915</v>
      </c>
      <c r="N13" s="1">
        <f>L13+M13</f>
        <v>65.064999999999998</v>
      </c>
    </row>
    <row r="14" spans="1:14" ht="28.5" x14ac:dyDescent="0.25">
      <c r="A14" s="19" t="s">
        <v>163</v>
      </c>
      <c r="B14" s="57" t="s">
        <v>19</v>
      </c>
      <c r="C14" s="5" t="s">
        <v>3</v>
      </c>
      <c r="D14" s="26">
        <v>268</v>
      </c>
      <c r="E14" s="8">
        <v>6413</v>
      </c>
      <c r="F14" s="65">
        <f t="shared" si="0"/>
        <v>1718684</v>
      </c>
      <c r="G14" s="1">
        <v>303</v>
      </c>
    </row>
    <row r="15" spans="1:14" ht="28.5" x14ac:dyDescent="0.25">
      <c r="A15" s="19" t="s">
        <v>164</v>
      </c>
      <c r="B15" s="57" t="s">
        <v>27</v>
      </c>
      <c r="C15" s="5" t="s">
        <v>3</v>
      </c>
      <c r="D15" s="26">
        <v>34.56</v>
      </c>
      <c r="E15" s="8">
        <v>7879</v>
      </c>
      <c r="F15" s="65">
        <f t="shared" si="0"/>
        <v>272298.23999999999</v>
      </c>
      <c r="G15" s="1">
        <v>38.4</v>
      </c>
      <c r="H15" s="1">
        <f>G15*0.9</f>
        <v>34.56</v>
      </c>
    </row>
    <row r="16" spans="1:14" x14ac:dyDescent="0.25">
      <c r="A16" s="19" t="s">
        <v>165</v>
      </c>
      <c r="B16" s="57" t="s">
        <v>39</v>
      </c>
      <c r="C16" s="5" t="s">
        <v>3</v>
      </c>
      <c r="D16" s="26">
        <v>5</v>
      </c>
      <c r="E16" s="8">
        <v>18689</v>
      </c>
      <c r="F16" s="65">
        <f t="shared" si="0"/>
        <v>93445</v>
      </c>
    </row>
    <row r="17" spans="1:9" x14ac:dyDescent="0.25">
      <c r="A17" s="19" t="s">
        <v>166</v>
      </c>
      <c r="B17" s="57" t="s">
        <v>28</v>
      </c>
      <c r="C17" s="5" t="s">
        <v>3</v>
      </c>
      <c r="D17" s="26">
        <v>305</v>
      </c>
      <c r="E17" s="8">
        <v>3000</v>
      </c>
      <c r="F17" s="65">
        <f t="shared" si="0"/>
        <v>915000</v>
      </c>
      <c r="G17" s="1">
        <v>305</v>
      </c>
    </row>
    <row r="18" spans="1:9" x14ac:dyDescent="0.25">
      <c r="A18" s="19" t="s">
        <v>167</v>
      </c>
      <c r="B18" s="57" t="s">
        <v>31</v>
      </c>
      <c r="C18" s="5" t="s">
        <v>3</v>
      </c>
      <c r="D18" s="26">
        <v>21.3</v>
      </c>
      <c r="E18" s="8">
        <v>15000</v>
      </c>
      <c r="F18" s="65">
        <f t="shared" si="0"/>
        <v>319500</v>
      </c>
      <c r="G18" s="1">
        <f>12.9*0.5</f>
        <v>6.45</v>
      </c>
      <c r="H18" s="1">
        <f>(8.75+6.25)*0.5</f>
        <v>7.5</v>
      </c>
      <c r="I18" s="1">
        <f>G18+H18</f>
        <v>13.95</v>
      </c>
    </row>
    <row r="19" spans="1:9" x14ac:dyDescent="0.25">
      <c r="A19" s="19" t="s">
        <v>168</v>
      </c>
      <c r="B19" s="57" t="s">
        <v>30</v>
      </c>
      <c r="C19" s="5" t="s">
        <v>1</v>
      </c>
      <c r="D19" s="26">
        <v>68</v>
      </c>
      <c r="E19" s="8">
        <v>15000</v>
      </c>
      <c r="F19" s="65">
        <f t="shared" si="0"/>
        <v>1020000</v>
      </c>
    </row>
    <row r="20" spans="1:9" x14ac:dyDescent="0.25">
      <c r="A20" s="19" t="s">
        <v>169</v>
      </c>
      <c r="B20" s="57" t="s">
        <v>29</v>
      </c>
      <c r="C20" s="5" t="s">
        <v>1</v>
      </c>
      <c r="D20" s="26">
        <v>78</v>
      </c>
      <c r="E20" s="8">
        <v>15000</v>
      </c>
      <c r="F20" s="65">
        <f t="shared" si="0"/>
        <v>1170000</v>
      </c>
      <c r="G20" s="1">
        <f>48+10+20</f>
        <v>78</v>
      </c>
    </row>
    <row r="21" spans="1:9" x14ac:dyDescent="0.25">
      <c r="A21" s="19"/>
      <c r="B21" s="27" t="s">
        <v>18</v>
      </c>
      <c r="C21" s="5"/>
      <c r="D21" s="2"/>
      <c r="E21" s="8"/>
      <c r="F21" s="66">
        <f>SUM(F12:F20)</f>
        <v>6770924.04</v>
      </c>
    </row>
    <row r="22" spans="1:9" x14ac:dyDescent="0.25">
      <c r="A22" s="78">
        <v>2</v>
      </c>
      <c r="B22" s="27" t="s">
        <v>26</v>
      </c>
      <c r="C22" s="5"/>
      <c r="D22" s="2"/>
      <c r="E22" s="8"/>
      <c r="F22" s="65"/>
    </row>
    <row r="23" spans="1:9" ht="42.75" x14ac:dyDescent="0.25">
      <c r="A23" s="19" t="s">
        <v>170</v>
      </c>
      <c r="B23" s="57" t="s">
        <v>32</v>
      </c>
      <c r="C23" s="22" t="s">
        <v>8</v>
      </c>
      <c r="D23" s="7">
        <v>18.809999999999999</v>
      </c>
      <c r="E23" s="7">
        <v>81435</v>
      </c>
      <c r="F23" s="65">
        <f t="shared" ref="F23:F33" si="1">D23*E23</f>
        <v>1531792.3499999999</v>
      </c>
      <c r="G23" s="1">
        <v>18.809999999999999</v>
      </c>
    </row>
    <row r="24" spans="1:9" ht="28.5" x14ac:dyDescent="0.25">
      <c r="A24" s="19" t="s">
        <v>171</v>
      </c>
      <c r="B24" s="57" t="s">
        <v>33</v>
      </c>
      <c r="C24" s="22" t="s">
        <v>2</v>
      </c>
      <c r="D24" s="7">
        <v>303</v>
      </c>
      <c r="E24" s="7">
        <v>57000</v>
      </c>
      <c r="F24" s="65">
        <f t="shared" si="1"/>
        <v>17271000</v>
      </c>
    </row>
    <row r="25" spans="1:9" ht="28.5" x14ac:dyDescent="0.25">
      <c r="A25" s="19" t="s">
        <v>172</v>
      </c>
      <c r="B25" s="57" t="s">
        <v>146</v>
      </c>
      <c r="C25" s="22" t="s">
        <v>3</v>
      </c>
      <c r="D25" s="7">
        <v>268</v>
      </c>
      <c r="E25" s="7">
        <v>87123</v>
      </c>
      <c r="F25" s="65">
        <f t="shared" si="1"/>
        <v>23348964</v>
      </c>
    </row>
    <row r="26" spans="1:9" ht="28.5" x14ac:dyDescent="0.25">
      <c r="A26" s="19" t="s">
        <v>173</v>
      </c>
      <c r="B26" s="57" t="s">
        <v>147</v>
      </c>
      <c r="C26" s="22" t="s">
        <v>7</v>
      </c>
      <c r="D26" s="7">
        <v>255.95</v>
      </c>
      <c r="E26" s="7">
        <v>18502</v>
      </c>
      <c r="F26" s="65">
        <f t="shared" si="1"/>
        <v>4735586.8999999994</v>
      </c>
    </row>
    <row r="27" spans="1:9" ht="28.5" x14ac:dyDescent="0.25">
      <c r="A27" s="19" t="s">
        <v>174</v>
      </c>
      <c r="B27" s="57" t="s">
        <v>148</v>
      </c>
      <c r="C27" s="22" t="s">
        <v>3</v>
      </c>
      <c r="D27" s="7">
        <v>54</v>
      </c>
      <c r="E27" s="7">
        <v>97596</v>
      </c>
      <c r="F27" s="65">
        <f t="shared" si="1"/>
        <v>5270184</v>
      </c>
    </row>
    <row r="28" spans="1:9" ht="28.5" x14ac:dyDescent="0.25">
      <c r="A28" s="19" t="s">
        <v>175</v>
      </c>
      <c r="B28" s="57" t="s">
        <v>42</v>
      </c>
      <c r="C28" s="22" t="s">
        <v>40</v>
      </c>
      <c r="D28" s="7">
        <v>2.56</v>
      </c>
      <c r="E28" s="7">
        <f>'OBRA NUEVA LABOR QUIMICA'!E20</f>
        <v>546992</v>
      </c>
      <c r="F28" s="65">
        <f t="shared" si="1"/>
        <v>1400299.52</v>
      </c>
      <c r="G28" s="1">
        <f>(2.9+4+3.6+4+2.9+4+0.9+0.9+0.9+0.9)*0.6</f>
        <v>14.999999999999995</v>
      </c>
      <c r="H28" s="1">
        <f>(2.9+2+2+2.9+2+2)*0.4</f>
        <v>5.5200000000000005</v>
      </c>
      <c r="I28" s="1">
        <f>H28+G28</f>
        <v>20.519999999999996</v>
      </c>
    </row>
    <row r="29" spans="1:9" ht="28.5" x14ac:dyDescent="0.25">
      <c r="A29" s="19" t="s">
        <v>176</v>
      </c>
      <c r="B29" s="57" t="s">
        <v>41</v>
      </c>
      <c r="C29" s="22" t="s">
        <v>3</v>
      </c>
      <c r="D29" s="7">
        <f>I28</f>
        <v>20.519999999999996</v>
      </c>
      <c r="E29" s="7">
        <v>57320</v>
      </c>
      <c r="F29" s="65">
        <f t="shared" si="1"/>
        <v>1176206.3999999997</v>
      </c>
      <c r="G29" s="1">
        <f>I28</f>
        <v>20.519999999999996</v>
      </c>
      <c r="H29" s="1">
        <f>G29*3</f>
        <v>61.559999999999988</v>
      </c>
    </row>
    <row r="30" spans="1:9" x14ac:dyDescent="0.25">
      <c r="A30" s="19" t="s">
        <v>177</v>
      </c>
      <c r="B30" s="57" t="s">
        <v>43</v>
      </c>
      <c r="C30" s="22" t="s">
        <v>3</v>
      </c>
      <c r="D30" s="7">
        <v>20.52</v>
      </c>
      <c r="E30" s="7">
        <v>15334</v>
      </c>
      <c r="F30" s="65">
        <f t="shared" si="1"/>
        <v>314653.68</v>
      </c>
    </row>
    <row r="31" spans="1:9" x14ac:dyDescent="0.25">
      <c r="A31" s="19" t="s">
        <v>178</v>
      </c>
      <c r="B31" s="57" t="s">
        <v>44</v>
      </c>
      <c r="C31" s="22" t="s">
        <v>3</v>
      </c>
      <c r="D31" s="7">
        <f>H29</f>
        <v>61.559999999999988</v>
      </c>
      <c r="E31" s="7">
        <v>5667</v>
      </c>
      <c r="F31" s="65">
        <f t="shared" si="1"/>
        <v>348860.51999999996</v>
      </c>
    </row>
    <row r="32" spans="1:9" x14ac:dyDescent="0.25">
      <c r="A32" s="19" t="s">
        <v>179</v>
      </c>
      <c r="B32" s="57" t="s">
        <v>128</v>
      </c>
      <c r="C32" s="22" t="s">
        <v>3</v>
      </c>
      <c r="D32" s="7">
        <f>D30</f>
        <v>20.52</v>
      </c>
      <c r="E32" s="7">
        <v>16967</v>
      </c>
      <c r="F32" s="65">
        <f t="shared" si="1"/>
        <v>348162.83999999997</v>
      </c>
      <c r="G32" s="1">
        <f>54*7</f>
        <v>378</v>
      </c>
    </row>
    <row r="33" spans="1:16" ht="28.5" x14ac:dyDescent="0.25">
      <c r="A33" s="19" t="s">
        <v>180</v>
      </c>
      <c r="B33" s="57" t="s">
        <v>263</v>
      </c>
      <c r="C33" s="22" t="s">
        <v>4</v>
      </c>
      <c r="D33" s="7">
        <f>G32</f>
        <v>378</v>
      </c>
      <c r="E33" s="7">
        <v>7909</v>
      </c>
      <c r="F33" s="65">
        <f t="shared" si="1"/>
        <v>2989602</v>
      </c>
    </row>
    <row r="34" spans="1:16" hidden="1" x14ac:dyDescent="0.25">
      <c r="A34" s="19"/>
      <c r="B34" s="18" t="s">
        <v>18</v>
      </c>
      <c r="C34" s="22"/>
      <c r="D34" s="7"/>
      <c r="E34" s="7"/>
      <c r="F34" s="65">
        <f>SUM(F23:F33)</f>
        <v>58735312.210000008</v>
      </c>
    </row>
    <row r="35" spans="1:16" ht="46.5" hidden="1" customHeight="1" x14ac:dyDescent="0.25">
      <c r="A35" s="19"/>
      <c r="B35" s="18" t="s">
        <v>23</v>
      </c>
      <c r="C35" s="22"/>
      <c r="D35" s="7"/>
      <c r="E35" s="7"/>
      <c r="F35" s="52"/>
    </row>
    <row r="36" spans="1:16" ht="43.5" hidden="1" x14ac:dyDescent="0.25">
      <c r="A36" s="19"/>
      <c r="B36" s="18" t="s">
        <v>35</v>
      </c>
      <c r="C36" s="22" t="s">
        <v>21</v>
      </c>
      <c r="D36" s="7"/>
      <c r="E36" s="7">
        <v>150000</v>
      </c>
      <c r="F36" s="65">
        <f>D36*E36</f>
        <v>0</v>
      </c>
    </row>
    <row r="37" spans="1:16" hidden="1" x14ac:dyDescent="0.25">
      <c r="A37" s="19"/>
      <c r="B37" s="7" t="s">
        <v>18</v>
      </c>
      <c r="C37" s="22"/>
      <c r="D37" s="7"/>
      <c r="E37" s="7"/>
      <c r="F37" s="65">
        <f>SUM(F36:F36)</f>
        <v>0</v>
      </c>
    </row>
    <row r="38" spans="1:16" hidden="1" x14ac:dyDescent="0.25">
      <c r="A38" s="19"/>
      <c r="B38" s="7" t="s">
        <v>24</v>
      </c>
      <c r="C38" s="22"/>
      <c r="D38" s="7"/>
      <c r="E38" s="7"/>
      <c r="F38" s="65"/>
    </row>
    <row r="39" spans="1:16" ht="16.5" hidden="1" customHeight="1" x14ac:dyDescent="0.25">
      <c r="A39" s="19"/>
      <c r="B39" s="7"/>
      <c r="C39" s="22"/>
      <c r="D39" s="8"/>
      <c r="E39" s="8"/>
      <c r="F39" s="65">
        <f>D39*E39</f>
        <v>0</v>
      </c>
    </row>
    <row r="40" spans="1:16" ht="16.5" customHeight="1" x14ac:dyDescent="0.25">
      <c r="A40" s="19"/>
      <c r="B40" s="27" t="s">
        <v>18</v>
      </c>
      <c r="C40" s="22"/>
      <c r="D40" s="7"/>
      <c r="E40" s="7"/>
      <c r="F40" s="66">
        <f>SUM(F23:F33)</f>
        <v>58735312.210000008</v>
      </c>
    </row>
    <row r="41" spans="1:16" ht="16.5" customHeight="1" x14ac:dyDescent="0.25">
      <c r="A41" s="78">
        <v>3</v>
      </c>
      <c r="B41" s="20" t="s">
        <v>13</v>
      </c>
      <c r="C41" s="22"/>
      <c r="D41" s="22"/>
      <c r="E41" s="7"/>
      <c r="F41" s="52"/>
    </row>
    <row r="42" spans="1:16" ht="29.25" x14ac:dyDescent="0.25">
      <c r="A42" s="19" t="s">
        <v>181</v>
      </c>
      <c r="B42" s="18" t="s">
        <v>123</v>
      </c>
      <c r="C42" s="22" t="s">
        <v>4</v>
      </c>
      <c r="D42" s="22">
        <v>8.4</v>
      </c>
      <c r="E42" s="7">
        <v>220227</v>
      </c>
      <c r="F42" s="76">
        <f>D42*E42</f>
        <v>1849906.8</v>
      </c>
    </row>
    <row r="43" spans="1:16" x14ac:dyDescent="0.25">
      <c r="A43" s="19" t="s">
        <v>182</v>
      </c>
      <c r="B43" s="18" t="s">
        <v>129</v>
      </c>
      <c r="C43" s="22" t="s">
        <v>4</v>
      </c>
      <c r="D43" s="22">
        <v>20</v>
      </c>
      <c r="E43" s="7">
        <v>165000</v>
      </c>
      <c r="F43" s="76">
        <f>D43*E43</f>
        <v>3300000</v>
      </c>
    </row>
    <row r="44" spans="1:16" s="14" customFormat="1" x14ac:dyDescent="0.25">
      <c r="A44" s="78"/>
      <c r="B44" s="20" t="s">
        <v>18</v>
      </c>
      <c r="C44" s="29"/>
      <c r="D44" s="29"/>
      <c r="E44" s="20"/>
      <c r="F44" s="66">
        <f>SUM(F42:F43)</f>
        <v>5149906.8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5">
      <c r="A45" s="78">
        <v>4</v>
      </c>
      <c r="B45" s="20" t="s">
        <v>70</v>
      </c>
      <c r="C45" s="22"/>
      <c r="D45" s="7"/>
      <c r="E45" s="7"/>
      <c r="F45" s="67"/>
    </row>
    <row r="46" spans="1:16" x14ac:dyDescent="0.25">
      <c r="A46" s="19"/>
      <c r="B46" s="20" t="s">
        <v>57</v>
      </c>
      <c r="C46" s="22"/>
      <c r="D46" s="7"/>
      <c r="E46" s="7"/>
      <c r="F46" s="67"/>
    </row>
    <row r="47" spans="1:16" ht="192" customHeight="1" x14ac:dyDescent="0.25">
      <c r="A47" s="19" t="s">
        <v>183</v>
      </c>
      <c r="B47" s="57" t="s">
        <v>238</v>
      </c>
      <c r="C47" s="30" t="s">
        <v>58</v>
      </c>
      <c r="D47" s="31">
        <v>41</v>
      </c>
      <c r="E47" s="32">
        <v>100790</v>
      </c>
      <c r="F47" s="68">
        <f>+D47*E47</f>
        <v>4132390</v>
      </c>
    </row>
    <row r="48" spans="1:16" ht="159.75" customHeight="1" x14ac:dyDescent="0.25">
      <c r="A48" s="19" t="s">
        <v>184</v>
      </c>
      <c r="B48" s="57" t="s">
        <v>239</v>
      </c>
      <c r="C48" s="30" t="s">
        <v>58</v>
      </c>
      <c r="D48" s="31">
        <v>17</v>
      </c>
      <c r="E48" s="32">
        <v>98896</v>
      </c>
      <c r="F48" s="68">
        <f>+D48*E48</f>
        <v>1681232</v>
      </c>
    </row>
    <row r="49" spans="1:6" ht="157.5" x14ac:dyDescent="0.25">
      <c r="A49" s="19" t="s">
        <v>185</v>
      </c>
      <c r="B49" s="57" t="s">
        <v>240</v>
      </c>
      <c r="C49" s="30" t="s">
        <v>58</v>
      </c>
      <c r="D49" s="31">
        <f>+(28*2)+(29*2)+17</f>
        <v>131</v>
      </c>
      <c r="E49" s="32">
        <v>85312</v>
      </c>
      <c r="F49" s="68">
        <f t="shared" ref="F49:F52" si="2">+D49*E49</f>
        <v>11175872</v>
      </c>
    </row>
    <row r="50" spans="1:6" ht="172.5" x14ac:dyDescent="0.25">
      <c r="A50" s="19" t="s">
        <v>186</v>
      </c>
      <c r="B50" s="57" t="s">
        <v>241</v>
      </c>
      <c r="C50" s="30" t="s">
        <v>58</v>
      </c>
      <c r="D50" s="31">
        <v>10</v>
      </c>
      <c r="E50" s="32">
        <v>92524</v>
      </c>
      <c r="F50" s="68">
        <f t="shared" si="2"/>
        <v>925240</v>
      </c>
    </row>
    <row r="51" spans="1:6" ht="157.5" x14ac:dyDescent="0.25">
      <c r="A51" s="19" t="s">
        <v>187</v>
      </c>
      <c r="B51" s="57" t="s">
        <v>242</v>
      </c>
      <c r="C51" s="30" t="s">
        <v>58</v>
      </c>
      <c r="D51" s="31">
        <f>7+8+8</f>
        <v>23</v>
      </c>
      <c r="E51" s="32">
        <v>85219</v>
      </c>
      <c r="F51" s="68">
        <f t="shared" si="2"/>
        <v>1960037</v>
      </c>
    </row>
    <row r="52" spans="1:6" ht="132" customHeight="1" x14ac:dyDescent="0.25">
      <c r="A52" s="19" t="s">
        <v>264</v>
      </c>
      <c r="B52" s="57" t="s">
        <v>243</v>
      </c>
      <c r="C52" s="30" t="s">
        <v>58</v>
      </c>
      <c r="D52" s="31">
        <v>6</v>
      </c>
      <c r="E52" s="32">
        <v>90827</v>
      </c>
      <c r="F52" s="68">
        <f t="shared" si="2"/>
        <v>544962</v>
      </c>
    </row>
    <row r="53" spans="1:6" ht="158.25" x14ac:dyDescent="0.25">
      <c r="A53" s="19" t="s">
        <v>265</v>
      </c>
      <c r="B53" s="57" t="s">
        <v>244</v>
      </c>
      <c r="C53" s="30" t="s">
        <v>58</v>
      </c>
      <c r="D53" s="31">
        <v>4</v>
      </c>
      <c r="E53" s="32">
        <v>115191</v>
      </c>
      <c r="F53" s="68">
        <f>+D53*E53</f>
        <v>460764</v>
      </c>
    </row>
    <row r="54" spans="1:6" ht="143.25" x14ac:dyDescent="0.25">
      <c r="A54" s="19" t="s">
        <v>266</v>
      </c>
      <c r="B54" s="57" t="s">
        <v>245</v>
      </c>
      <c r="C54" s="30" t="s">
        <v>58</v>
      </c>
      <c r="D54" s="31">
        <f>+(7*2)+(7*2)+3</f>
        <v>31</v>
      </c>
      <c r="E54" s="32">
        <v>140131</v>
      </c>
      <c r="F54" s="68">
        <f>+D54*E54</f>
        <v>4344061</v>
      </c>
    </row>
    <row r="55" spans="1:6" ht="100.5" x14ac:dyDescent="0.25">
      <c r="A55" s="19" t="s">
        <v>267</v>
      </c>
      <c r="B55" s="57" t="s">
        <v>246</v>
      </c>
      <c r="C55" s="30" t="s">
        <v>58</v>
      </c>
      <c r="D55" s="31">
        <v>11</v>
      </c>
      <c r="E55" s="32">
        <v>98394</v>
      </c>
      <c r="F55" s="68">
        <f t="shared" ref="F55:F66" si="3">+D55*E55</f>
        <v>1082334</v>
      </c>
    </row>
    <row r="56" spans="1:6" ht="100.5" x14ac:dyDescent="0.25">
      <c r="A56" s="19" t="s">
        <v>268</v>
      </c>
      <c r="B56" s="57" t="s">
        <v>247</v>
      </c>
      <c r="C56" s="30" t="s">
        <v>58</v>
      </c>
      <c r="D56" s="31">
        <v>9</v>
      </c>
      <c r="E56" s="32">
        <v>102679</v>
      </c>
      <c r="F56" s="68">
        <f t="shared" si="3"/>
        <v>924111</v>
      </c>
    </row>
    <row r="57" spans="1:6" ht="75" customHeight="1" x14ac:dyDescent="0.25">
      <c r="A57" s="19" t="s">
        <v>269</v>
      </c>
      <c r="B57" s="57" t="s">
        <v>59</v>
      </c>
      <c r="C57" s="30" t="s">
        <v>58</v>
      </c>
      <c r="D57" s="31">
        <v>7</v>
      </c>
      <c r="E57" s="32">
        <v>230588</v>
      </c>
      <c r="F57" s="68">
        <f t="shared" si="3"/>
        <v>1614116</v>
      </c>
    </row>
    <row r="58" spans="1:6" ht="101.25" x14ac:dyDescent="0.25">
      <c r="A58" s="19" t="s">
        <v>270</v>
      </c>
      <c r="B58" s="57" t="s">
        <v>248</v>
      </c>
      <c r="C58" s="30" t="s">
        <v>60</v>
      </c>
      <c r="D58" s="31">
        <v>35</v>
      </c>
      <c r="E58" s="32">
        <v>51203</v>
      </c>
      <c r="F58" s="68">
        <f t="shared" si="3"/>
        <v>1792105</v>
      </c>
    </row>
    <row r="59" spans="1:6" ht="101.25" x14ac:dyDescent="0.25">
      <c r="A59" s="19" t="s">
        <v>271</v>
      </c>
      <c r="B59" s="57" t="s">
        <v>249</v>
      </c>
      <c r="C59" s="30" t="s">
        <v>58</v>
      </c>
      <c r="D59" s="31">
        <v>2</v>
      </c>
      <c r="E59" s="32">
        <v>2610355</v>
      </c>
      <c r="F59" s="68">
        <f t="shared" si="3"/>
        <v>5220710</v>
      </c>
    </row>
    <row r="60" spans="1:6" ht="58.5" x14ac:dyDescent="0.25">
      <c r="A60" s="19" t="s">
        <v>272</v>
      </c>
      <c r="B60" s="57" t="s">
        <v>250</v>
      </c>
      <c r="C60" s="30" t="s">
        <v>58</v>
      </c>
      <c r="D60" s="31">
        <v>34</v>
      </c>
      <c r="E60" s="32">
        <v>220210</v>
      </c>
      <c r="F60" s="68">
        <f t="shared" si="3"/>
        <v>7487140</v>
      </c>
    </row>
    <row r="61" spans="1:6" ht="58.5" x14ac:dyDescent="0.25">
      <c r="A61" s="19" t="s">
        <v>273</v>
      </c>
      <c r="B61" s="57" t="s">
        <v>251</v>
      </c>
      <c r="C61" s="30" t="s">
        <v>58</v>
      </c>
      <c r="D61" s="31">
        <v>5</v>
      </c>
      <c r="E61" s="32">
        <v>123710</v>
      </c>
      <c r="F61" s="68">
        <f t="shared" si="3"/>
        <v>618550</v>
      </c>
    </row>
    <row r="62" spans="1:6" ht="58.5" x14ac:dyDescent="0.25">
      <c r="A62" s="19" t="s">
        <v>274</v>
      </c>
      <c r="B62" s="57" t="s">
        <v>252</v>
      </c>
      <c r="C62" s="30" t="s">
        <v>58</v>
      </c>
      <c r="D62" s="31">
        <v>2</v>
      </c>
      <c r="E62" s="32">
        <v>115335</v>
      </c>
      <c r="F62" s="68">
        <f t="shared" si="3"/>
        <v>230670</v>
      </c>
    </row>
    <row r="63" spans="1:6" ht="46.5" customHeight="1" x14ac:dyDescent="0.25">
      <c r="A63" s="19" t="s">
        <v>275</v>
      </c>
      <c r="B63" s="57" t="s">
        <v>253</v>
      </c>
      <c r="C63" s="30" t="s">
        <v>58</v>
      </c>
      <c r="D63" s="31">
        <v>17</v>
      </c>
      <c r="E63" s="32">
        <v>380460</v>
      </c>
      <c r="F63" s="68">
        <f t="shared" si="3"/>
        <v>6467820</v>
      </c>
    </row>
    <row r="64" spans="1:6" ht="58.5" x14ac:dyDescent="0.25">
      <c r="A64" s="19" t="s">
        <v>276</v>
      </c>
      <c r="B64" s="57" t="s">
        <v>254</v>
      </c>
      <c r="C64" s="30" t="s">
        <v>58</v>
      </c>
      <c r="D64" s="31">
        <v>10</v>
      </c>
      <c r="E64" s="32">
        <v>90010</v>
      </c>
      <c r="F64" s="68">
        <f t="shared" si="3"/>
        <v>900100</v>
      </c>
    </row>
    <row r="65" spans="1:16" ht="43.5" x14ac:dyDescent="0.25">
      <c r="A65" s="19" t="s">
        <v>277</v>
      </c>
      <c r="B65" s="57" t="s">
        <v>255</v>
      </c>
      <c r="C65" s="30" t="s">
        <v>58</v>
      </c>
      <c r="D65" s="31">
        <v>2</v>
      </c>
      <c r="E65" s="32">
        <v>105010</v>
      </c>
      <c r="F65" s="68">
        <f t="shared" si="3"/>
        <v>210020</v>
      </c>
    </row>
    <row r="66" spans="1:16" ht="28.5" x14ac:dyDescent="0.25">
      <c r="A66" s="19" t="s">
        <v>278</v>
      </c>
      <c r="B66" s="57" t="s">
        <v>61</v>
      </c>
      <c r="C66" s="30" t="s">
        <v>62</v>
      </c>
      <c r="D66" s="31">
        <v>1</v>
      </c>
      <c r="E66" s="32">
        <v>1080000</v>
      </c>
      <c r="F66" s="68">
        <f t="shared" si="3"/>
        <v>1080000</v>
      </c>
    </row>
    <row r="67" spans="1:16" x14ac:dyDescent="0.25">
      <c r="A67" s="19"/>
      <c r="B67" s="20" t="s">
        <v>18</v>
      </c>
      <c r="C67" s="22"/>
      <c r="D67" s="7"/>
      <c r="E67" s="7"/>
      <c r="F67" s="66">
        <f>SUM(F47:F66)</f>
        <v>52852234</v>
      </c>
    </row>
    <row r="68" spans="1:16" x14ac:dyDescent="0.25">
      <c r="A68" s="78">
        <v>5</v>
      </c>
      <c r="B68" s="33" t="s">
        <v>69</v>
      </c>
      <c r="C68" s="22"/>
      <c r="D68" s="7"/>
      <c r="E68" s="7"/>
      <c r="F68" s="65"/>
    </row>
    <row r="69" spans="1:16" ht="28.5" x14ac:dyDescent="0.25">
      <c r="A69" s="19" t="s">
        <v>188</v>
      </c>
      <c r="B69" s="34" t="s">
        <v>63</v>
      </c>
      <c r="C69" s="35" t="s">
        <v>64</v>
      </c>
      <c r="D69" s="36">
        <v>15</v>
      </c>
      <c r="E69" s="37">
        <v>10000</v>
      </c>
      <c r="F69" s="67">
        <f>+D69*E69</f>
        <v>150000</v>
      </c>
    </row>
    <row r="70" spans="1:16" ht="28.5" x14ac:dyDescent="0.25">
      <c r="A70" s="19" t="s">
        <v>189</v>
      </c>
      <c r="B70" s="34" t="s">
        <v>65</v>
      </c>
      <c r="C70" s="38" t="s">
        <v>64</v>
      </c>
      <c r="D70" s="36">
        <v>15</v>
      </c>
      <c r="E70" s="37">
        <v>15600</v>
      </c>
      <c r="F70" s="67">
        <f>+D70*E70</f>
        <v>234000</v>
      </c>
    </row>
    <row r="71" spans="1:16" ht="71.25" x14ac:dyDescent="0.25">
      <c r="A71" s="19" t="s">
        <v>190</v>
      </c>
      <c r="B71" s="34" t="s">
        <v>66</v>
      </c>
      <c r="C71" s="38" t="s">
        <v>64</v>
      </c>
      <c r="D71" s="36">
        <v>17</v>
      </c>
      <c r="E71" s="37">
        <v>45500</v>
      </c>
      <c r="F71" s="67">
        <f t="shared" ref="F71:F73" si="4">+D71*E71</f>
        <v>773500</v>
      </c>
    </row>
    <row r="72" spans="1:16" ht="57" x14ac:dyDescent="0.25">
      <c r="A72" s="19" t="s">
        <v>191</v>
      </c>
      <c r="B72" s="34" t="s">
        <v>67</v>
      </c>
      <c r="C72" s="38" t="s">
        <v>64</v>
      </c>
      <c r="D72" s="36">
        <v>17</v>
      </c>
      <c r="E72" s="37">
        <v>59728</v>
      </c>
      <c r="F72" s="67">
        <f t="shared" si="4"/>
        <v>1015376</v>
      </c>
    </row>
    <row r="73" spans="1:16" ht="57" x14ac:dyDescent="0.25">
      <c r="A73" s="19" t="s">
        <v>192</v>
      </c>
      <c r="B73" s="34" t="s">
        <v>68</v>
      </c>
      <c r="C73" s="38" t="s">
        <v>46</v>
      </c>
      <c r="D73" s="36">
        <v>18</v>
      </c>
      <c r="E73" s="37">
        <v>8500</v>
      </c>
      <c r="F73" s="67">
        <f t="shared" si="4"/>
        <v>153000</v>
      </c>
    </row>
    <row r="74" spans="1:16" s="14" customFormat="1" x14ac:dyDescent="0.25">
      <c r="A74" s="78"/>
      <c r="B74" s="39" t="s">
        <v>18</v>
      </c>
      <c r="C74" s="40"/>
      <c r="D74" s="41"/>
      <c r="E74" s="42"/>
      <c r="F74" s="69">
        <f>SUM(F69:F73)</f>
        <v>2325876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14" customFormat="1" x14ac:dyDescent="0.25">
      <c r="A75" s="78">
        <v>6</v>
      </c>
      <c r="B75" s="39" t="s">
        <v>78</v>
      </c>
      <c r="C75" s="40"/>
      <c r="D75" s="41"/>
      <c r="E75" s="42"/>
      <c r="F75" s="69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57" x14ac:dyDescent="0.25">
      <c r="A76" s="19" t="s">
        <v>194</v>
      </c>
      <c r="B76" s="34" t="s">
        <v>71</v>
      </c>
      <c r="C76" s="30" t="s">
        <v>58</v>
      </c>
      <c r="D76" s="43">
        <f>9+2+1+9+2+1+2+2</f>
        <v>28</v>
      </c>
      <c r="E76" s="44">
        <v>230588</v>
      </c>
      <c r="F76" s="70">
        <f>D76*E76</f>
        <v>6456464</v>
      </c>
    </row>
    <row r="77" spans="1:16" x14ac:dyDescent="0.25">
      <c r="A77" s="19" t="s">
        <v>195</v>
      </c>
      <c r="B77" s="34" t="s">
        <v>72</v>
      </c>
      <c r="C77" s="30" t="s">
        <v>58</v>
      </c>
      <c r="D77" s="43">
        <v>1</v>
      </c>
      <c r="E77" s="44">
        <v>270000</v>
      </c>
      <c r="F77" s="70">
        <f>E77*D77</f>
        <v>270000</v>
      </c>
    </row>
    <row r="78" spans="1:16" x14ac:dyDescent="0.25">
      <c r="A78" s="19" t="s">
        <v>196</v>
      </c>
      <c r="B78" s="34" t="s">
        <v>73</v>
      </c>
      <c r="C78" s="30" t="s">
        <v>58</v>
      </c>
      <c r="D78" s="43">
        <v>2</v>
      </c>
      <c r="E78" s="44">
        <v>76000</v>
      </c>
      <c r="F78" s="70">
        <f>E78*D78</f>
        <v>152000</v>
      </c>
    </row>
    <row r="79" spans="1:16" x14ac:dyDescent="0.25">
      <c r="A79" s="19" t="s">
        <v>279</v>
      </c>
      <c r="B79" s="34" t="s">
        <v>74</v>
      </c>
      <c r="C79" s="30" t="s">
        <v>58</v>
      </c>
      <c r="D79" s="43">
        <v>28</v>
      </c>
      <c r="E79" s="44">
        <v>37000</v>
      </c>
      <c r="F79" s="70">
        <f>D79*E79</f>
        <v>1036000</v>
      </c>
    </row>
    <row r="80" spans="1:16" x14ac:dyDescent="0.25">
      <c r="A80" s="19" t="s">
        <v>280</v>
      </c>
      <c r="B80" s="34" t="s">
        <v>75</v>
      </c>
      <c r="C80" s="30" t="s">
        <v>58</v>
      </c>
      <c r="D80" s="43">
        <v>28</v>
      </c>
      <c r="E80" s="44">
        <v>44000</v>
      </c>
      <c r="F80" s="70">
        <f>D80*E80</f>
        <v>1232000</v>
      </c>
    </row>
    <row r="81" spans="1:16" ht="42.75" x14ac:dyDescent="0.25">
      <c r="A81" s="19" t="s">
        <v>281</v>
      </c>
      <c r="B81" s="34" t="s">
        <v>76</v>
      </c>
      <c r="C81" s="30" t="s">
        <v>58</v>
      </c>
      <c r="D81" s="43">
        <v>20</v>
      </c>
      <c r="E81" s="44">
        <v>420000</v>
      </c>
      <c r="F81" s="70">
        <f>D81*E81</f>
        <v>8400000</v>
      </c>
      <c r="G81" s="10"/>
    </row>
    <row r="82" spans="1:16" ht="28.5" x14ac:dyDescent="0.25">
      <c r="A82" s="19" t="s">
        <v>282</v>
      </c>
      <c r="B82" s="34" t="s">
        <v>77</v>
      </c>
      <c r="C82" s="30" t="s">
        <v>58</v>
      </c>
      <c r="D82" s="43">
        <v>1</v>
      </c>
      <c r="E82" s="44">
        <v>1270000</v>
      </c>
      <c r="F82" s="70">
        <f>E82*D82</f>
        <v>1270000</v>
      </c>
    </row>
    <row r="83" spans="1:16" hidden="1" x14ac:dyDescent="0.25">
      <c r="A83" s="19"/>
      <c r="B83" s="34"/>
      <c r="C83" s="38"/>
      <c r="D83" s="36"/>
      <c r="E83" s="37" t="s">
        <v>18</v>
      </c>
      <c r="F83" s="67">
        <f>SUM(F76:F82)</f>
        <v>18816464</v>
      </c>
    </row>
    <row r="84" spans="1:16" hidden="1" x14ac:dyDescent="0.25">
      <c r="A84" s="19"/>
      <c r="B84" s="34"/>
      <c r="C84" s="7"/>
      <c r="D84" s="7"/>
      <c r="E84" s="7"/>
      <c r="F84" s="65">
        <f>F83+F74+F67+F34+F21</f>
        <v>139500810.25</v>
      </c>
    </row>
    <row r="85" spans="1:16" hidden="1" x14ac:dyDescent="0.25">
      <c r="A85" s="19"/>
      <c r="B85" s="34"/>
      <c r="C85" s="7"/>
      <c r="D85" s="7"/>
      <c r="E85" s="7" t="s">
        <v>20</v>
      </c>
      <c r="F85" s="65">
        <f>F84*25%</f>
        <v>34875202.5625</v>
      </c>
    </row>
    <row r="86" spans="1:16" hidden="1" x14ac:dyDescent="0.25">
      <c r="A86" s="19"/>
      <c r="B86" s="34"/>
      <c r="C86" s="7"/>
      <c r="D86" s="7"/>
      <c r="E86" s="7" t="s">
        <v>56</v>
      </c>
      <c r="F86" s="65">
        <v>1135273.9995200001</v>
      </c>
    </row>
    <row r="87" spans="1:16" hidden="1" x14ac:dyDescent="0.25">
      <c r="A87" s="19"/>
      <c r="B87" s="34"/>
      <c r="C87" s="7"/>
      <c r="D87" s="7"/>
      <c r="E87" s="7" t="s">
        <v>0</v>
      </c>
      <c r="F87" s="65">
        <f>F84+F85+F86</f>
        <v>175511286.81202</v>
      </c>
    </row>
    <row r="88" spans="1:16" hidden="1" x14ac:dyDescent="0.25">
      <c r="A88" s="19"/>
      <c r="B88" s="34"/>
      <c r="C88" s="7"/>
      <c r="D88" s="7"/>
      <c r="E88" s="7"/>
      <c r="F88" s="65"/>
    </row>
    <row r="89" spans="1:16" hidden="1" x14ac:dyDescent="0.25">
      <c r="A89" s="19"/>
      <c r="B89" s="34"/>
      <c r="C89" s="7"/>
      <c r="D89" s="7"/>
      <c r="E89" s="7"/>
      <c r="F89" s="71"/>
    </row>
    <row r="90" spans="1:16" hidden="1" x14ac:dyDescent="0.25">
      <c r="A90" s="19"/>
      <c r="B90" s="34"/>
      <c r="C90" s="7"/>
      <c r="D90" s="7"/>
      <c r="E90" s="7"/>
      <c r="F90" s="71">
        <f>F87</f>
        <v>175511286.81202</v>
      </c>
    </row>
    <row r="91" spans="1:16" hidden="1" x14ac:dyDescent="0.25">
      <c r="A91" s="19"/>
      <c r="B91" s="7" t="s">
        <v>0</v>
      </c>
      <c r="C91" s="7"/>
      <c r="D91" s="7"/>
      <c r="E91" s="7"/>
      <c r="F91" s="72" t="e">
        <f>#REF!</f>
        <v>#REF!</v>
      </c>
    </row>
    <row r="92" spans="1:16" hidden="1" x14ac:dyDescent="0.25">
      <c r="A92" s="19"/>
      <c r="B92" s="7"/>
      <c r="C92" s="7"/>
      <c r="D92" s="7"/>
      <c r="E92" s="7"/>
      <c r="F92" s="52"/>
    </row>
    <row r="93" spans="1:16" hidden="1" x14ac:dyDescent="0.25">
      <c r="A93" s="19"/>
      <c r="B93" s="7"/>
      <c r="C93" s="7"/>
      <c r="D93" s="7"/>
      <c r="E93" s="7"/>
      <c r="F93" s="71" t="e">
        <f>SUM(F90:F92)</f>
        <v>#REF!</v>
      </c>
    </row>
    <row r="94" spans="1:16" hidden="1" x14ac:dyDescent="0.25">
      <c r="A94" s="19"/>
      <c r="B94" s="7"/>
      <c r="C94" s="7"/>
      <c r="D94" s="7"/>
      <c r="E94" s="7"/>
      <c r="F94" s="52"/>
    </row>
    <row r="95" spans="1:16" s="14" customFormat="1" x14ac:dyDescent="0.25">
      <c r="A95" s="78"/>
      <c r="B95" s="20" t="s">
        <v>18</v>
      </c>
      <c r="C95" s="20"/>
      <c r="D95" s="20"/>
      <c r="E95" s="20"/>
      <c r="F95" s="74">
        <f>SUM(F76:F82)</f>
        <v>18816464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14" customFormat="1" x14ac:dyDescent="0.25">
      <c r="A96" s="78">
        <v>7</v>
      </c>
      <c r="B96" s="20" t="s">
        <v>83</v>
      </c>
      <c r="C96" s="55"/>
      <c r="D96" s="41"/>
      <c r="E96" s="42"/>
      <c r="F96" s="69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8" x14ac:dyDescent="0.25">
      <c r="A97" s="19" t="s">
        <v>197</v>
      </c>
      <c r="B97" s="34" t="s">
        <v>85</v>
      </c>
      <c r="C97" s="30" t="s">
        <v>58</v>
      </c>
      <c r="D97" s="45">
        <v>1</v>
      </c>
      <c r="E97" s="46">
        <v>1820000</v>
      </c>
      <c r="F97" s="73">
        <f>E97*D97</f>
        <v>1820000</v>
      </c>
      <c r="G97" s="1" t="e">
        <f>#REF!*5%</f>
        <v>#REF!</v>
      </c>
    </row>
    <row r="98" spans="1:18" ht="28.5" x14ac:dyDescent="0.25">
      <c r="A98" s="19" t="s">
        <v>198</v>
      </c>
      <c r="B98" s="34" t="s">
        <v>137</v>
      </c>
      <c r="C98" s="30" t="s">
        <v>58</v>
      </c>
      <c r="D98" s="45">
        <v>1</v>
      </c>
      <c r="E98" s="46">
        <v>3795200</v>
      </c>
      <c r="F98" s="73">
        <f>D98*E98</f>
        <v>3795200</v>
      </c>
    </row>
    <row r="99" spans="1:18" x14ac:dyDescent="0.25">
      <c r="A99" s="19" t="s">
        <v>199</v>
      </c>
      <c r="B99" s="34" t="s">
        <v>86</v>
      </c>
      <c r="C99" s="30" t="s">
        <v>58</v>
      </c>
      <c r="D99" s="45">
        <v>1</v>
      </c>
      <c r="E99" s="46">
        <v>73600</v>
      </c>
      <c r="F99" s="73">
        <f>D99*E99</f>
        <v>73600</v>
      </c>
    </row>
    <row r="100" spans="1:18" x14ac:dyDescent="0.25">
      <c r="A100" s="19"/>
      <c r="B100" s="20" t="s">
        <v>193</v>
      </c>
      <c r="C100" s="20"/>
      <c r="D100" s="20"/>
      <c r="E100" s="20"/>
      <c r="F100" s="74">
        <f>SUM(F97:F99)</f>
        <v>5688800</v>
      </c>
      <c r="R100" s="77"/>
    </row>
    <row r="101" spans="1:18" ht="15.75" customHeight="1" x14ac:dyDescent="0.25">
      <c r="A101" s="19"/>
      <c r="B101" s="20" t="s">
        <v>38</v>
      </c>
      <c r="C101" s="20"/>
      <c r="D101" s="20"/>
      <c r="E101" s="20"/>
      <c r="F101" s="75"/>
    </row>
    <row r="102" spans="1:18" x14ac:dyDescent="0.25">
      <c r="A102" s="19">
        <v>8</v>
      </c>
      <c r="B102" s="20" t="s">
        <v>15</v>
      </c>
      <c r="C102" s="20"/>
      <c r="D102" s="20"/>
      <c r="E102" s="20"/>
      <c r="F102" s="75"/>
    </row>
    <row r="103" spans="1:18" x14ac:dyDescent="0.25">
      <c r="A103" s="19" t="s">
        <v>201</v>
      </c>
      <c r="B103" s="34" t="s">
        <v>16</v>
      </c>
      <c r="C103" s="22" t="s">
        <v>3</v>
      </c>
      <c r="D103" s="23">
        <v>23.37</v>
      </c>
      <c r="E103" s="8">
        <v>7896</v>
      </c>
      <c r="F103" s="65">
        <f t="shared" ref="F103:F109" si="5">D103*E103</f>
        <v>184529.52000000002</v>
      </c>
    </row>
    <row r="104" spans="1:18" x14ac:dyDescent="0.25">
      <c r="A104" s="19" t="s">
        <v>283</v>
      </c>
      <c r="B104" s="34" t="s">
        <v>39</v>
      </c>
      <c r="C104" s="22" t="s">
        <v>3</v>
      </c>
      <c r="D104" s="23">
        <v>8</v>
      </c>
      <c r="E104" s="8">
        <v>18689</v>
      </c>
      <c r="F104" s="65">
        <f t="shared" si="5"/>
        <v>149512</v>
      </c>
    </row>
    <row r="105" spans="1:18" ht="28.5" x14ac:dyDescent="0.25">
      <c r="A105" s="19" t="s">
        <v>284</v>
      </c>
      <c r="B105" s="34" t="s">
        <v>116</v>
      </c>
      <c r="C105" s="24" t="s">
        <v>3</v>
      </c>
      <c r="D105" s="5">
        <v>485.8</v>
      </c>
      <c r="E105" s="47">
        <v>3000</v>
      </c>
      <c r="F105" s="65">
        <f t="shared" si="5"/>
        <v>1457400</v>
      </c>
    </row>
    <row r="106" spans="1:18" x14ac:dyDescent="0.25">
      <c r="A106" s="19" t="s">
        <v>285</v>
      </c>
      <c r="B106" s="34" t="s">
        <v>39</v>
      </c>
      <c r="C106" s="5" t="s">
        <v>3</v>
      </c>
      <c r="D106" s="26">
        <v>2</v>
      </c>
      <c r="E106" s="8">
        <v>18689</v>
      </c>
      <c r="F106" s="65">
        <f t="shared" si="5"/>
        <v>37378</v>
      </c>
    </row>
    <row r="107" spans="1:18" ht="28.5" x14ac:dyDescent="0.25">
      <c r="A107" s="19" t="s">
        <v>286</v>
      </c>
      <c r="B107" s="34" t="s">
        <v>115</v>
      </c>
      <c r="C107" s="24" t="s">
        <v>118</v>
      </c>
      <c r="D107" s="5">
        <v>96</v>
      </c>
      <c r="E107" s="47">
        <v>15000</v>
      </c>
      <c r="F107" s="65">
        <f t="shared" si="5"/>
        <v>1440000</v>
      </c>
    </row>
    <row r="108" spans="1:18" ht="28.5" x14ac:dyDescent="0.25">
      <c r="A108" s="19" t="s">
        <v>287</v>
      </c>
      <c r="B108" s="34" t="s">
        <v>125</v>
      </c>
      <c r="C108" s="24" t="s">
        <v>3</v>
      </c>
      <c r="D108" s="5">
        <v>10.199999999999999</v>
      </c>
      <c r="E108" s="47">
        <v>15504</v>
      </c>
      <c r="F108" s="65">
        <f t="shared" si="5"/>
        <v>158140.79999999999</v>
      </c>
    </row>
    <row r="109" spans="1:18" ht="28.5" x14ac:dyDescent="0.25">
      <c r="A109" s="19" t="s">
        <v>288</v>
      </c>
      <c r="B109" s="34" t="s">
        <v>126</v>
      </c>
      <c r="C109" s="24" t="s">
        <v>118</v>
      </c>
      <c r="D109" s="5">
        <v>60</v>
      </c>
      <c r="E109" s="47">
        <v>15000</v>
      </c>
      <c r="F109" s="65">
        <f t="shared" si="5"/>
        <v>900000</v>
      </c>
    </row>
    <row r="110" spans="1:18" s="14" customFormat="1" x14ac:dyDescent="0.25">
      <c r="A110" s="78"/>
      <c r="B110" s="27" t="s">
        <v>18</v>
      </c>
      <c r="C110" s="15"/>
      <c r="D110" s="16"/>
      <c r="E110" s="17"/>
      <c r="F110" s="66">
        <f>SUM(F103:F109)</f>
        <v>4326960.32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8" s="14" customFormat="1" x14ac:dyDescent="0.25">
      <c r="A111" s="78">
        <v>9</v>
      </c>
      <c r="B111" s="27" t="s">
        <v>10</v>
      </c>
      <c r="C111" s="15"/>
      <c r="D111" s="16"/>
      <c r="E111" s="17"/>
      <c r="F111" s="66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8" x14ac:dyDescent="0.25">
      <c r="A112" s="19" t="s">
        <v>202</v>
      </c>
      <c r="B112" s="34" t="s">
        <v>122</v>
      </c>
      <c r="C112" s="48" t="s">
        <v>121</v>
      </c>
      <c r="D112" s="49">
        <v>5.9</v>
      </c>
      <c r="E112" s="50">
        <v>44185</v>
      </c>
      <c r="F112" s="51">
        <f>+E112*D112</f>
        <v>260691.50000000003</v>
      </c>
    </row>
    <row r="113" spans="1:16" s="14" customFormat="1" x14ac:dyDescent="0.25">
      <c r="A113" s="78"/>
      <c r="B113" s="39" t="s">
        <v>18</v>
      </c>
      <c r="C113" s="58"/>
      <c r="D113" s="59"/>
      <c r="E113" s="60"/>
      <c r="F113" s="61">
        <f>SUM(F112)</f>
        <v>260691.50000000003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14" customFormat="1" x14ac:dyDescent="0.25">
      <c r="A114" s="78">
        <v>10</v>
      </c>
      <c r="B114" s="27" t="s">
        <v>26</v>
      </c>
      <c r="C114" s="15"/>
      <c r="D114" s="16"/>
      <c r="E114" s="17"/>
      <c r="F114" s="66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42.75" x14ac:dyDescent="0.25">
      <c r="A115" s="19" t="s">
        <v>210</v>
      </c>
      <c r="B115" s="34" t="s">
        <v>36</v>
      </c>
      <c r="C115" s="22" t="s">
        <v>7</v>
      </c>
      <c r="D115" s="7">
        <v>107.43</v>
      </c>
      <c r="E115" s="8">
        <v>81435</v>
      </c>
      <c r="F115" s="65">
        <f>D115*E115</f>
        <v>8748562.0500000007</v>
      </c>
    </row>
    <row r="116" spans="1:16" ht="28.5" x14ac:dyDescent="0.25">
      <c r="A116" s="19" t="s">
        <v>211</v>
      </c>
      <c r="B116" s="34" t="s">
        <v>51</v>
      </c>
      <c r="C116" s="22" t="s">
        <v>7</v>
      </c>
      <c r="D116" s="7">
        <v>500.8</v>
      </c>
      <c r="E116" s="8">
        <v>20735</v>
      </c>
      <c r="F116" s="65">
        <f t="shared" ref="F116:F123" si="6">D116*E116</f>
        <v>10384088</v>
      </c>
    </row>
    <row r="117" spans="1:16" ht="42.75" x14ac:dyDescent="0.25">
      <c r="A117" s="19" t="s">
        <v>212</v>
      </c>
      <c r="B117" s="34" t="s">
        <v>119</v>
      </c>
      <c r="C117" s="22" t="s">
        <v>3</v>
      </c>
      <c r="D117" s="7">
        <v>490</v>
      </c>
      <c r="E117" s="8">
        <v>57681</v>
      </c>
      <c r="F117" s="65">
        <f t="shared" si="6"/>
        <v>28263690</v>
      </c>
    </row>
    <row r="118" spans="1:16" ht="28.5" x14ac:dyDescent="0.25">
      <c r="A118" s="19" t="s">
        <v>213</v>
      </c>
      <c r="B118" s="34" t="s">
        <v>117</v>
      </c>
      <c r="C118" s="22" t="s">
        <v>3</v>
      </c>
      <c r="D118" s="7">
        <v>9.16</v>
      </c>
      <c r="E118" s="8">
        <v>87411</v>
      </c>
      <c r="F118" s="65">
        <f t="shared" si="6"/>
        <v>800684.76</v>
      </c>
    </row>
    <row r="119" spans="1:16" ht="42.75" x14ac:dyDescent="0.25">
      <c r="A119" s="19" t="s">
        <v>214</v>
      </c>
      <c r="B119" s="34" t="s">
        <v>127</v>
      </c>
      <c r="C119" s="22" t="s">
        <v>7</v>
      </c>
      <c r="D119" s="7">
        <v>10.15</v>
      </c>
      <c r="E119" s="8">
        <v>18502</v>
      </c>
      <c r="F119" s="65">
        <f t="shared" si="6"/>
        <v>187795.30000000002</v>
      </c>
    </row>
    <row r="120" spans="1:16" x14ac:dyDescent="0.25">
      <c r="A120" s="19" t="s">
        <v>215</v>
      </c>
      <c r="B120" s="34" t="s">
        <v>110</v>
      </c>
      <c r="C120" s="22" t="s">
        <v>4</v>
      </c>
      <c r="D120" s="52">
        <v>178</v>
      </c>
      <c r="E120" s="8">
        <v>15334</v>
      </c>
      <c r="F120" s="65">
        <f t="shared" si="6"/>
        <v>2729452</v>
      </c>
    </row>
    <row r="121" spans="1:16" x14ac:dyDescent="0.25">
      <c r="A121" s="19" t="s">
        <v>216</v>
      </c>
      <c r="B121" s="34" t="s">
        <v>120</v>
      </c>
      <c r="C121" s="22" t="s">
        <v>3</v>
      </c>
      <c r="D121" s="7">
        <v>295.5</v>
      </c>
      <c r="E121" s="8">
        <v>5721</v>
      </c>
      <c r="F121" s="65">
        <f t="shared" si="6"/>
        <v>1690555.5</v>
      </c>
    </row>
    <row r="122" spans="1:16" ht="28.5" x14ac:dyDescent="0.25">
      <c r="A122" s="19" t="s">
        <v>217</v>
      </c>
      <c r="B122" s="34" t="s">
        <v>261</v>
      </c>
      <c r="C122" s="22" t="s">
        <v>3</v>
      </c>
      <c r="D122" s="7">
        <v>1795</v>
      </c>
      <c r="E122" s="8">
        <v>7909</v>
      </c>
      <c r="F122" s="65">
        <f t="shared" si="6"/>
        <v>14196655</v>
      </c>
    </row>
    <row r="123" spans="1:16" ht="28.5" x14ac:dyDescent="0.25">
      <c r="A123" s="19" t="s">
        <v>218</v>
      </c>
      <c r="B123" s="34" t="s">
        <v>42</v>
      </c>
      <c r="C123" s="22" t="s">
        <v>40</v>
      </c>
      <c r="D123" s="7">
        <v>2.15</v>
      </c>
      <c r="E123" s="8">
        <v>546992</v>
      </c>
      <c r="F123" s="65">
        <f t="shared" si="6"/>
        <v>1176032.8</v>
      </c>
    </row>
    <row r="124" spans="1:16" ht="28.5" x14ac:dyDescent="0.25">
      <c r="A124" s="19" t="s">
        <v>219</v>
      </c>
      <c r="B124" s="34" t="s">
        <v>41</v>
      </c>
      <c r="C124" s="22" t="s">
        <v>3</v>
      </c>
      <c r="D124" s="7">
        <v>4</v>
      </c>
      <c r="E124" s="8">
        <v>57320</v>
      </c>
      <c r="F124" s="65">
        <f>D124*E124</f>
        <v>229280</v>
      </c>
    </row>
    <row r="125" spans="1:16" x14ac:dyDescent="0.25">
      <c r="A125" s="19" t="s">
        <v>220</v>
      </c>
      <c r="B125" s="34" t="s">
        <v>43</v>
      </c>
      <c r="C125" s="22" t="s">
        <v>3</v>
      </c>
      <c r="D125" s="7">
        <v>19.600000000000001</v>
      </c>
      <c r="E125" s="8">
        <v>15334</v>
      </c>
      <c r="F125" s="65">
        <f>D125*E125</f>
        <v>300546.40000000002</v>
      </c>
    </row>
    <row r="126" spans="1:16" x14ac:dyDescent="0.25">
      <c r="A126" s="19" t="s">
        <v>221</v>
      </c>
      <c r="B126" s="34" t="s">
        <v>44</v>
      </c>
      <c r="C126" s="22" t="s">
        <v>3</v>
      </c>
      <c r="D126" s="7">
        <v>19.600000000000001</v>
      </c>
      <c r="E126" s="8">
        <v>5667</v>
      </c>
      <c r="F126" s="65">
        <f>D126*E126</f>
        <v>111073.20000000001</v>
      </c>
    </row>
    <row r="127" spans="1:16" x14ac:dyDescent="0.25">
      <c r="A127" s="19" t="s">
        <v>222</v>
      </c>
      <c r="B127" s="34" t="s">
        <v>124</v>
      </c>
      <c r="C127" s="22" t="s">
        <v>3</v>
      </c>
      <c r="D127" s="7">
        <f>D125</f>
        <v>19.600000000000001</v>
      </c>
      <c r="E127" s="8">
        <v>11638</v>
      </c>
      <c r="F127" s="65">
        <f>D127*E127</f>
        <v>228104.80000000002</v>
      </c>
    </row>
    <row r="128" spans="1:16" s="14" customFormat="1" x14ac:dyDescent="0.25">
      <c r="A128" s="78"/>
      <c r="B128" s="53" t="s">
        <v>18</v>
      </c>
      <c r="C128" s="29"/>
      <c r="D128" s="20"/>
      <c r="E128" s="20"/>
      <c r="F128" s="66">
        <f>SUM(F115:F127)</f>
        <v>69046519.810000002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s="14" customFormat="1" x14ac:dyDescent="0.25">
      <c r="A129" s="78">
        <v>11</v>
      </c>
      <c r="B129" s="20" t="s">
        <v>79</v>
      </c>
      <c r="C129" s="29"/>
      <c r="D129" s="20"/>
      <c r="E129" s="20"/>
      <c r="F129" s="66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43.25" x14ac:dyDescent="0.25">
      <c r="A130" s="19" t="s">
        <v>223</v>
      </c>
      <c r="B130" s="34" t="s">
        <v>238</v>
      </c>
      <c r="C130" s="30" t="s">
        <v>58</v>
      </c>
      <c r="D130" s="31">
        <v>34</v>
      </c>
      <c r="E130" s="32">
        <v>100790</v>
      </c>
      <c r="F130" s="68">
        <f>+D130*E130</f>
        <v>3426860</v>
      </c>
    </row>
    <row r="131" spans="1:16" ht="156.75" x14ac:dyDescent="0.25">
      <c r="A131" s="19" t="s">
        <v>224</v>
      </c>
      <c r="B131" s="34" t="s">
        <v>239</v>
      </c>
      <c r="C131" s="30" t="s">
        <v>58</v>
      </c>
      <c r="D131" s="31">
        <v>4</v>
      </c>
      <c r="E131" s="32">
        <v>98896</v>
      </c>
      <c r="F131" s="68">
        <f>+D131*E131</f>
        <v>395584</v>
      </c>
    </row>
    <row r="132" spans="1:16" ht="172.5" x14ac:dyDescent="0.25">
      <c r="A132" s="19" t="s">
        <v>225</v>
      </c>
      <c r="B132" s="34" t="s">
        <v>241</v>
      </c>
      <c r="C132" s="30" t="s">
        <v>58</v>
      </c>
      <c r="D132" s="31">
        <v>3</v>
      </c>
      <c r="E132" s="32">
        <v>102524</v>
      </c>
      <c r="F132" s="68">
        <f t="shared" ref="F132:F134" si="7">+D132*E132</f>
        <v>307572</v>
      </c>
    </row>
    <row r="133" spans="1:16" ht="157.5" x14ac:dyDescent="0.25">
      <c r="A133" s="19" t="s">
        <v>226</v>
      </c>
      <c r="B133" s="34" t="s">
        <v>242</v>
      </c>
      <c r="C133" s="30" t="s">
        <v>58</v>
      </c>
      <c r="D133" s="31">
        <v>104</v>
      </c>
      <c r="E133" s="32">
        <v>85219</v>
      </c>
      <c r="F133" s="68">
        <f t="shared" si="7"/>
        <v>8862776</v>
      </c>
    </row>
    <row r="134" spans="1:16" ht="186" x14ac:dyDescent="0.25">
      <c r="A134" s="19" t="s">
        <v>289</v>
      </c>
      <c r="B134" s="34" t="s">
        <v>243</v>
      </c>
      <c r="C134" s="30" t="s">
        <v>58</v>
      </c>
      <c r="D134" s="31">
        <v>14</v>
      </c>
      <c r="E134" s="32">
        <v>90827</v>
      </c>
      <c r="F134" s="68">
        <f t="shared" si="7"/>
        <v>1271578</v>
      </c>
    </row>
    <row r="135" spans="1:16" ht="143.25" x14ac:dyDescent="0.25">
      <c r="A135" s="19" t="s">
        <v>290</v>
      </c>
      <c r="B135" s="34" t="s">
        <v>245</v>
      </c>
      <c r="C135" s="30" t="s">
        <v>58</v>
      </c>
      <c r="D135" s="31">
        <v>15</v>
      </c>
      <c r="E135" s="32">
        <v>150131</v>
      </c>
      <c r="F135" s="68">
        <f>+D135*E135</f>
        <v>2251965</v>
      </c>
    </row>
    <row r="136" spans="1:16" ht="144" x14ac:dyDescent="0.25">
      <c r="A136" s="19" t="s">
        <v>291</v>
      </c>
      <c r="B136" s="34" t="s">
        <v>256</v>
      </c>
      <c r="C136" s="30" t="s">
        <v>58</v>
      </c>
      <c r="D136" s="31">
        <v>8</v>
      </c>
      <c r="E136" s="32">
        <v>150601</v>
      </c>
      <c r="F136" s="68">
        <f t="shared" ref="F136:F149" si="8">+D136*E136</f>
        <v>1204808</v>
      </c>
    </row>
    <row r="137" spans="1:16" ht="100.5" x14ac:dyDescent="0.25">
      <c r="A137" s="19" t="s">
        <v>292</v>
      </c>
      <c r="B137" s="34" t="s">
        <v>246</v>
      </c>
      <c r="C137" s="30" t="s">
        <v>58</v>
      </c>
      <c r="D137" s="31">
        <v>8</v>
      </c>
      <c r="E137" s="32">
        <v>98394</v>
      </c>
      <c r="F137" s="68">
        <f t="shared" si="8"/>
        <v>787152</v>
      </c>
    </row>
    <row r="138" spans="1:16" ht="100.5" x14ac:dyDescent="0.25">
      <c r="A138" s="19" t="s">
        <v>293</v>
      </c>
      <c r="B138" s="34" t="s">
        <v>247</v>
      </c>
      <c r="C138" s="30" t="s">
        <v>58</v>
      </c>
      <c r="D138" s="31">
        <v>2</v>
      </c>
      <c r="E138" s="32">
        <v>102679</v>
      </c>
      <c r="F138" s="68">
        <f t="shared" si="8"/>
        <v>205358</v>
      </c>
    </row>
    <row r="139" spans="1:16" ht="115.5" x14ac:dyDescent="0.25">
      <c r="A139" s="19" t="s">
        <v>294</v>
      </c>
      <c r="B139" s="34" t="s">
        <v>257</v>
      </c>
      <c r="C139" s="30" t="s">
        <v>58</v>
      </c>
      <c r="D139" s="31">
        <v>2</v>
      </c>
      <c r="E139" s="32">
        <v>109827</v>
      </c>
      <c r="F139" s="68">
        <f t="shared" si="8"/>
        <v>219654</v>
      </c>
    </row>
    <row r="140" spans="1:16" ht="129" x14ac:dyDescent="0.25">
      <c r="A140" s="19" t="s">
        <v>295</v>
      </c>
      <c r="B140" s="34" t="s">
        <v>258</v>
      </c>
      <c r="C140" s="30" t="s">
        <v>58</v>
      </c>
      <c r="D140" s="31">
        <v>8</v>
      </c>
      <c r="E140" s="32">
        <v>230588</v>
      </c>
      <c r="F140" s="68">
        <f t="shared" si="8"/>
        <v>1844704</v>
      </c>
    </row>
    <row r="141" spans="1:16" ht="44.25" x14ac:dyDescent="0.25">
      <c r="A141" s="19" t="s">
        <v>296</v>
      </c>
      <c r="B141" s="34" t="s">
        <v>259</v>
      </c>
      <c r="C141" s="30" t="s">
        <v>60</v>
      </c>
      <c r="D141" s="54">
        <v>40</v>
      </c>
      <c r="E141" s="32">
        <v>48955</v>
      </c>
      <c r="F141" s="68">
        <f t="shared" si="8"/>
        <v>1958200</v>
      </c>
    </row>
    <row r="142" spans="1:16" ht="101.25" x14ac:dyDescent="0.25">
      <c r="A142" s="19" t="s">
        <v>297</v>
      </c>
      <c r="B142" s="34" t="s">
        <v>248</v>
      </c>
      <c r="C142" s="30" t="s">
        <v>60</v>
      </c>
      <c r="D142" s="31">
        <v>35</v>
      </c>
      <c r="E142" s="32">
        <v>51203</v>
      </c>
      <c r="F142" s="68">
        <f t="shared" si="8"/>
        <v>1792105</v>
      </c>
    </row>
    <row r="143" spans="1:16" ht="101.25" x14ac:dyDescent="0.25">
      <c r="A143" s="19" t="s">
        <v>298</v>
      </c>
      <c r="B143" s="34" t="s">
        <v>249</v>
      </c>
      <c r="C143" s="30" t="s">
        <v>58</v>
      </c>
      <c r="D143" s="31">
        <v>2</v>
      </c>
      <c r="E143" s="32">
        <v>2610355</v>
      </c>
      <c r="F143" s="68">
        <f t="shared" si="8"/>
        <v>5220710</v>
      </c>
    </row>
    <row r="144" spans="1:16" ht="58.5" x14ac:dyDescent="0.25">
      <c r="A144" s="19" t="s">
        <v>299</v>
      </c>
      <c r="B144" s="34" t="s">
        <v>250</v>
      </c>
      <c r="C144" s="30" t="s">
        <v>58</v>
      </c>
      <c r="D144" s="31">
        <v>28</v>
      </c>
      <c r="E144" s="32">
        <v>247210</v>
      </c>
      <c r="F144" s="68">
        <f t="shared" si="8"/>
        <v>6921880</v>
      </c>
    </row>
    <row r="145" spans="1:16" ht="58.5" x14ac:dyDescent="0.25">
      <c r="A145" s="19" t="s">
        <v>300</v>
      </c>
      <c r="B145" s="34" t="s">
        <v>251</v>
      </c>
      <c r="C145" s="30" t="s">
        <v>58</v>
      </c>
      <c r="D145" s="31">
        <v>13</v>
      </c>
      <c r="E145" s="32">
        <v>123710</v>
      </c>
      <c r="F145" s="68">
        <f t="shared" si="8"/>
        <v>1608230</v>
      </c>
    </row>
    <row r="146" spans="1:16" ht="58.5" x14ac:dyDescent="0.25">
      <c r="A146" s="19" t="s">
        <v>301</v>
      </c>
      <c r="B146" s="34" t="s">
        <v>254</v>
      </c>
      <c r="C146" s="30" t="s">
        <v>58</v>
      </c>
      <c r="D146" s="31">
        <v>6</v>
      </c>
      <c r="E146" s="32">
        <v>90010</v>
      </c>
      <c r="F146" s="68">
        <f t="shared" si="8"/>
        <v>540060</v>
      </c>
    </row>
    <row r="147" spans="1:16" ht="43.5" x14ac:dyDescent="0.25">
      <c r="A147" s="19" t="s">
        <v>302</v>
      </c>
      <c r="B147" s="34" t="s">
        <v>255</v>
      </c>
      <c r="C147" s="30" t="s">
        <v>58</v>
      </c>
      <c r="D147" s="31">
        <v>3</v>
      </c>
      <c r="E147" s="32">
        <v>105010</v>
      </c>
      <c r="F147" s="68">
        <f t="shared" si="8"/>
        <v>315030</v>
      </c>
    </row>
    <row r="148" spans="1:16" ht="30" x14ac:dyDescent="0.25">
      <c r="A148" s="19" t="s">
        <v>303</v>
      </c>
      <c r="B148" s="34" t="s">
        <v>260</v>
      </c>
      <c r="C148" s="30" t="s">
        <v>46</v>
      </c>
      <c r="D148" s="31">
        <v>25</v>
      </c>
      <c r="E148" s="32">
        <v>55112</v>
      </c>
      <c r="F148" s="68">
        <f t="shared" si="8"/>
        <v>1377800</v>
      </c>
    </row>
    <row r="149" spans="1:16" ht="28.5" x14ac:dyDescent="0.25">
      <c r="A149" s="19" t="s">
        <v>304</v>
      </c>
      <c r="B149" s="34" t="s">
        <v>61</v>
      </c>
      <c r="C149" s="30" t="s">
        <v>62</v>
      </c>
      <c r="D149" s="31">
        <v>1</v>
      </c>
      <c r="E149" s="32">
        <v>1080000</v>
      </c>
      <c r="F149" s="68">
        <f t="shared" si="8"/>
        <v>1080000</v>
      </c>
    </row>
    <row r="150" spans="1:16" s="14" customFormat="1" x14ac:dyDescent="0.25">
      <c r="A150" s="78"/>
      <c r="B150" s="20" t="s">
        <v>18</v>
      </c>
      <c r="C150" s="29"/>
      <c r="D150" s="20"/>
      <c r="E150" s="20"/>
      <c r="F150" s="66">
        <f>SUM(F130:F149)</f>
        <v>41592026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s="14" customFormat="1" x14ac:dyDescent="0.25">
      <c r="A151" s="78">
        <v>12</v>
      </c>
      <c r="B151" s="20" t="s">
        <v>69</v>
      </c>
      <c r="C151" s="29"/>
      <c r="D151" s="20"/>
      <c r="E151" s="20"/>
      <c r="F151" s="66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28.5" x14ac:dyDescent="0.25">
      <c r="A152" s="19" t="s">
        <v>227</v>
      </c>
      <c r="B152" s="34" t="s">
        <v>63</v>
      </c>
      <c r="C152" s="30" t="s">
        <v>58</v>
      </c>
      <c r="D152" s="36">
        <v>10</v>
      </c>
      <c r="E152" s="37">
        <v>10000</v>
      </c>
      <c r="F152" s="67">
        <f>+D152*E152</f>
        <v>100000</v>
      </c>
    </row>
    <row r="153" spans="1:16" ht="28.5" x14ac:dyDescent="0.25">
      <c r="A153" s="19" t="s">
        <v>228</v>
      </c>
      <c r="B153" s="34" t="s">
        <v>65</v>
      </c>
      <c r="C153" s="30" t="s">
        <v>58</v>
      </c>
      <c r="D153" s="36">
        <v>10</v>
      </c>
      <c r="E153" s="37">
        <v>15600</v>
      </c>
      <c r="F153" s="67">
        <f>+D153*E153</f>
        <v>156000</v>
      </c>
    </row>
    <row r="154" spans="1:16" ht="71.25" x14ac:dyDescent="0.25">
      <c r="A154" s="19" t="s">
        <v>229</v>
      </c>
      <c r="B154" s="34" t="s">
        <v>66</v>
      </c>
      <c r="C154" s="30" t="s">
        <v>58</v>
      </c>
      <c r="D154" s="36">
        <v>6</v>
      </c>
      <c r="E154" s="37">
        <v>45500</v>
      </c>
      <c r="F154" s="67">
        <f t="shared" ref="F154:F155" si="9">+D154*E154</f>
        <v>273000</v>
      </c>
    </row>
    <row r="155" spans="1:16" ht="57" x14ac:dyDescent="0.25">
      <c r="A155" s="19" t="s">
        <v>230</v>
      </c>
      <c r="B155" s="34" t="s">
        <v>67</v>
      </c>
      <c r="C155" s="30" t="s">
        <v>58</v>
      </c>
      <c r="D155" s="36">
        <v>6</v>
      </c>
      <c r="E155" s="37">
        <v>59728</v>
      </c>
      <c r="F155" s="67">
        <f t="shared" si="9"/>
        <v>358368</v>
      </c>
    </row>
    <row r="156" spans="1:16" s="14" customFormat="1" x14ac:dyDescent="0.25">
      <c r="A156" s="78"/>
      <c r="B156" s="39" t="s">
        <v>18</v>
      </c>
      <c r="C156" s="40"/>
      <c r="D156" s="41"/>
      <c r="E156" s="42"/>
      <c r="F156" s="69">
        <f>SUM(F152:F155)</f>
        <v>887368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14" customFormat="1" x14ac:dyDescent="0.25">
      <c r="A157" s="78">
        <v>13</v>
      </c>
      <c r="B157" s="39" t="s">
        <v>78</v>
      </c>
      <c r="C157" s="40"/>
      <c r="D157" s="41"/>
      <c r="E157" s="42"/>
      <c r="F157" s="69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57" x14ac:dyDescent="0.25">
      <c r="A158" s="19" t="s">
        <v>231</v>
      </c>
      <c r="B158" s="34" t="s">
        <v>71</v>
      </c>
      <c r="C158" s="30" t="s">
        <v>58</v>
      </c>
      <c r="D158" s="43">
        <v>73</v>
      </c>
      <c r="E158" s="44">
        <v>230588</v>
      </c>
      <c r="F158" s="70">
        <f>D158*E158</f>
        <v>16832924</v>
      </c>
    </row>
    <row r="159" spans="1:16" ht="42.75" x14ac:dyDescent="0.25">
      <c r="A159" s="19" t="s">
        <v>232</v>
      </c>
      <c r="B159" s="34" t="s">
        <v>80</v>
      </c>
      <c r="C159" s="30" t="s">
        <v>58</v>
      </c>
      <c r="D159" s="43">
        <v>1</v>
      </c>
      <c r="E159" s="44">
        <v>948000</v>
      </c>
      <c r="F159" s="70">
        <f>D159*E159</f>
        <v>948000</v>
      </c>
    </row>
    <row r="160" spans="1:16" x14ac:dyDescent="0.25">
      <c r="A160" s="19" t="s">
        <v>305</v>
      </c>
      <c r="B160" s="34" t="s">
        <v>72</v>
      </c>
      <c r="C160" s="30" t="s">
        <v>58</v>
      </c>
      <c r="D160" s="43">
        <v>1</v>
      </c>
      <c r="E160" s="44">
        <v>270000</v>
      </c>
      <c r="F160" s="70">
        <f>E160*D160</f>
        <v>270000</v>
      </c>
    </row>
    <row r="161" spans="1:18" x14ac:dyDescent="0.25">
      <c r="A161" s="19" t="s">
        <v>306</v>
      </c>
      <c r="B161" s="34" t="s">
        <v>73</v>
      </c>
      <c r="C161" s="30" t="s">
        <v>58</v>
      </c>
      <c r="D161" s="43">
        <v>2</v>
      </c>
      <c r="E161" s="44">
        <v>76000</v>
      </c>
      <c r="F161" s="70">
        <f>D161*E161</f>
        <v>152000</v>
      </c>
    </row>
    <row r="162" spans="1:18" x14ac:dyDescent="0.25">
      <c r="A162" s="19" t="s">
        <v>307</v>
      </c>
      <c r="B162" s="34" t="s">
        <v>74</v>
      </c>
      <c r="C162" s="30" t="s">
        <v>58</v>
      </c>
      <c r="D162" s="43">
        <v>73</v>
      </c>
      <c r="E162" s="44">
        <v>37000</v>
      </c>
      <c r="F162" s="70">
        <f>D162*E162</f>
        <v>2701000</v>
      </c>
    </row>
    <row r="163" spans="1:18" x14ac:dyDescent="0.25">
      <c r="A163" s="19" t="s">
        <v>308</v>
      </c>
      <c r="B163" s="34" t="s">
        <v>75</v>
      </c>
      <c r="C163" s="30" t="s">
        <v>58</v>
      </c>
      <c r="D163" s="43">
        <v>73</v>
      </c>
      <c r="E163" s="44">
        <v>44000</v>
      </c>
      <c r="F163" s="70">
        <f>D163*E163</f>
        <v>3212000</v>
      </c>
    </row>
    <row r="164" spans="1:18" ht="42.75" x14ac:dyDescent="0.25">
      <c r="A164" s="19" t="s">
        <v>309</v>
      </c>
      <c r="B164" s="34" t="s">
        <v>81</v>
      </c>
      <c r="C164" s="30" t="s">
        <v>58</v>
      </c>
      <c r="D164" s="43">
        <v>6</v>
      </c>
      <c r="E164" s="44">
        <v>420000</v>
      </c>
      <c r="F164" s="70">
        <f>D164*E164</f>
        <v>2520000</v>
      </c>
    </row>
    <row r="165" spans="1:18" ht="71.25" x14ac:dyDescent="0.25">
      <c r="A165" s="19" t="s">
        <v>310</v>
      </c>
      <c r="B165" s="34" t="s">
        <v>82</v>
      </c>
      <c r="C165" s="30" t="s">
        <v>58</v>
      </c>
      <c r="D165" s="43">
        <v>1</v>
      </c>
      <c r="E165" s="44">
        <v>4800000</v>
      </c>
      <c r="F165" s="70">
        <f>D165*E165</f>
        <v>4800000</v>
      </c>
    </row>
    <row r="166" spans="1:18" s="14" customFormat="1" x14ac:dyDescent="0.25">
      <c r="A166" s="78"/>
      <c r="B166" s="20" t="s">
        <v>18</v>
      </c>
      <c r="C166" s="55"/>
      <c r="D166" s="41"/>
      <c r="E166" s="42"/>
      <c r="F166" s="69">
        <f>SUM(F158:F165)</f>
        <v>31435924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8" s="14" customFormat="1" x14ac:dyDescent="0.25">
      <c r="A167" s="78">
        <v>14</v>
      </c>
      <c r="B167" s="56" t="s">
        <v>83</v>
      </c>
      <c r="C167" s="20"/>
      <c r="D167" s="20"/>
      <c r="E167" s="20"/>
      <c r="F167" s="75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8" ht="28.5" x14ac:dyDescent="0.25">
      <c r="A168" s="19" t="s">
        <v>233</v>
      </c>
      <c r="B168" s="34" t="s">
        <v>137</v>
      </c>
      <c r="C168" s="30" t="s">
        <v>58</v>
      </c>
      <c r="D168" s="45">
        <v>1</v>
      </c>
      <c r="E168" s="46">
        <v>3795200</v>
      </c>
      <c r="F168" s="73">
        <f>D168*E168</f>
        <v>3795200</v>
      </c>
    </row>
    <row r="169" spans="1:18" x14ac:dyDescent="0.25">
      <c r="A169" s="19" t="s">
        <v>311</v>
      </c>
      <c r="B169" s="34" t="s">
        <v>86</v>
      </c>
      <c r="C169" s="30" t="s">
        <v>58</v>
      </c>
      <c r="D169" s="45">
        <v>1</v>
      </c>
      <c r="E169" s="46">
        <v>73600</v>
      </c>
      <c r="F169" s="73">
        <f>D169*E169</f>
        <v>73600</v>
      </c>
    </row>
    <row r="170" spans="1:18" s="14" customFormat="1" x14ac:dyDescent="0.25">
      <c r="A170" s="78"/>
      <c r="B170" s="39" t="s">
        <v>18</v>
      </c>
      <c r="C170" s="40"/>
      <c r="D170" s="41"/>
      <c r="E170" s="42"/>
      <c r="F170" s="69">
        <f>SUM(F168:F169)</f>
        <v>3868800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8" s="14" customFormat="1" x14ac:dyDescent="0.25">
      <c r="A171" s="78">
        <v>15</v>
      </c>
      <c r="B171" s="39" t="s">
        <v>152</v>
      </c>
      <c r="C171" s="40"/>
      <c r="D171" s="41"/>
      <c r="E171" s="42"/>
      <c r="F171" s="69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8" x14ac:dyDescent="0.25">
      <c r="A172" s="19" t="s">
        <v>312</v>
      </c>
      <c r="B172" s="34" t="s">
        <v>150</v>
      </c>
      <c r="C172" s="38" t="s">
        <v>151</v>
      </c>
      <c r="D172" s="36">
        <v>1</v>
      </c>
      <c r="E172" s="37"/>
      <c r="F172" s="67">
        <v>372093</v>
      </c>
    </row>
    <row r="173" spans="1:18" s="14" customFormat="1" x14ac:dyDescent="0.25">
      <c r="A173" s="21"/>
      <c r="B173" s="39" t="s">
        <v>18</v>
      </c>
      <c r="C173" s="40"/>
      <c r="D173" s="41"/>
      <c r="E173" s="42"/>
      <c r="F173" s="69">
        <f>SUM(F172)</f>
        <v>372093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8" s="14" customFormat="1" x14ac:dyDescent="0.25">
      <c r="A174" s="21"/>
      <c r="B174" s="20" t="s">
        <v>234</v>
      </c>
      <c r="C174" s="29"/>
      <c r="D174" s="20"/>
      <c r="E174" s="20"/>
      <c r="F174" s="66">
        <f>+F173+F170+F166+F156+F150+F128+F113+F110+F100+F95+F74+F67+F44+F40+F21</f>
        <v>302129899.68000001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8" s="14" customFormat="1" x14ac:dyDescent="0.25">
      <c r="A175" s="21"/>
      <c r="B175" s="20" t="s">
        <v>20</v>
      </c>
      <c r="C175" s="29"/>
      <c r="D175" s="20"/>
      <c r="E175" s="20" t="s">
        <v>20</v>
      </c>
      <c r="F175" s="66">
        <f>+F174*0.25</f>
        <v>75532474.920000002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8" s="14" customFormat="1" x14ac:dyDescent="0.25">
      <c r="A176" s="21"/>
      <c r="B176" s="20" t="s">
        <v>235</v>
      </c>
      <c r="C176" s="29"/>
      <c r="D176" s="20"/>
      <c r="E176" s="20"/>
      <c r="F176" s="66">
        <f>+F175+F174</f>
        <v>377662374.60000002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R176" s="62"/>
    </row>
    <row r="177" spans="1:20" s="14" customFormat="1" x14ac:dyDescent="0.25">
      <c r="A177" s="21"/>
      <c r="B177" s="20" t="s">
        <v>236</v>
      </c>
      <c r="C177" s="29"/>
      <c r="D177" s="20"/>
      <c r="E177" s="20"/>
      <c r="F177" s="66">
        <f>+(F174*0.05)*0.16</f>
        <v>2417039.1974400003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20" s="14" customFormat="1" x14ac:dyDescent="0.25">
      <c r="A178" s="21"/>
      <c r="B178" s="20" t="s">
        <v>237</v>
      </c>
      <c r="C178" s="20"/>
      <c r="D178" s="20"/>
      <c r="E178" s="20"/>
      <c r="F178" s="66">
        <f>+F177+F176</f>
        <v>380079413.79744005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T178" s="63"/>
    </row>
    <row r="180" spans="1:20" x14ac:dyDescent="0.25">
      <c r="F180" s="64"/>
    </row>
    <row r="181" spans="1:20" x14ac:dyDescent="0.25">
      <c r="F181" s="10"/>
    </row>
    <row r="182" spans="1:20" x14ac:dyDescent="0.25">
      <c r="B182" s="1" t="s">
        <v>138</v>
      </c>
      <c r="D182" s="1" t="s">
        <v>139</v>
      </c>
    </row>
    <row r="183" spans="1:20" x14ac:dyDescent="0.25">
      <c r="B183" s="1" t="s">
        <v>140</v>
      </c>
      <c r="D183" s="1" t="s">
        <v>141</v>
      </c>
    </row>
    <row r="184" spans="1:20" x14ac:dyDescent="0.25">
      <c r="B184" s="1" t="s">
        <v>145</v>
      </c>
      <c r="D184" s="1" t="s">
        <v>145</v>
      </c>
    </row>
    <row r="188" spans="1:20" x14ac:dyDescent="0.25">
      <c r="B188" s="1" t="s">
        <v>93</v>
      </c>
      <c r="D188" s="1" t="s">
        <v>142</v>
      </c>
    </row>
    <row r="189" spans="1:20" x14ac:dyDescent="0.25">
      <c r="B189" s="1" t="s">
        <v>94</v>
      </c>
      <c r="D189" s="1" t="s">
        <v>143</v>
      </c>
    </row>
    <row r="190" spans="1:20" x14ac:dyDescent="0.25">
      <c r="B190" s="1" t="s">
        <v>95</v>
      </c>
      <c r="D190" s="1" t="s">
        <v>144</v>
      </c>
    </row>
  </sheetData>
  <mergeCells count="2">
    <mergeCell ref="B9:F9"/>
    <mergeCell ref="A6:F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OBRA NUEVA LABOR QUIMICA</vt:lpstr>
      <vt:lpstr>ADECUACION LAB BIOLOG-QUIMICA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</cp:lastModifiedBy>
  <cp:lastPrinted>2016-11-10T23:08:02Z</cp:lastPrinted>
  <dcterms:created xsi:type="dcterms:W3CDTF">2014-09-25T16:16:34Z</dcterms:created>
  <dcterms:modified xsi:type="dcterms:W3CDTF">2016-12-14T00:51:50Z</dcterms:modified>
</cp:coreProperties>
</file>